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пущения" sheetId="1" state="visible" r:id="rId3"/>
    <sheet name="P&amp;L" sheetId="2" state="visible" r:id="rId4"/>
    <sheet name="Cash Flow" sheetId="3" state="visible" r:id="rId5"/>
    <sheet name="Выручка" sheetId="4" state="visible" r:id="rId6"/>
    <sheet name="KPI" sheetId="5" state="visible" r:id="rId7"/>
    <sheet name="ФОТ" sheetId="6" state="visible" r:id="rId8"/>
    <sheet name="CAPEX сводка" sheetId="7" state="visible" r:id="rId9"/>
    <sheet name="OPEX" sheetId="8" state="visible" r:id="rId10"/>
    <sheet name="Безубыточность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<sst xmlns="http://schemas.openxmlformats.org/spreadsheetml/2006/main" count="666" uniqueCount="379">
  <si>
    <t xml:space="preserve">ФИНАНСОВАЯ МОДЕЛЬ КОФЕЙНИ — ДОПУЩЕНИЯ</t>
  </si>
  <si>
    <t xml:space="preserve">Универсальный шаблон. Измените жёлтые ячейки под свой проект.</t>
  </si>
  <si>
    <t xml:space="preserve">1. ОБЩИЕ ПАРАМЕТРЫ ПРОЕКТА</t>
  </si>
  <si>
    <t xml:space="preserve">Название проекта</t>
  </si>
  <si>
    <t xml:space="preserve">Кофейня</t>
  </si>
  <si>
    <t xml:space="preserve">Город</t>
  </si>
  <si>
    <t xml:space="preserve">Анадырь</t>
  </si>
  <si>
    <t xml:space="preserve">Дата старта проекта</t>
  </si>
  <si>
    <t xml:space="preserve">февраль 2026</t>
  </si>
  <si>
    <t xml:space="preserve">Горизонт модели, лет</t>
  </si>
  <si>
    <t xml:space="preserve">Площадь земельного участка, м²</t>
  </si>
  <si>
    <t xml:space="preserve">Площадь павильона (здания), м²</t>
  </si>
  <si>
    <t xml:space="preserve">Площадь террасы, м²</t>
  </si>
  <si>
    <t xml:space="preserve">Площадь благоустройства, м²</t>
  </si>
  <si>
    <t xml:space="preserve">Количество посадочных мест (зал)</t>
  </si>
  <si>
    <t xml:space="preserve">Количество посадочных мест (терраса)</t>
  </si>
  <si>
    <t xml:space="preserve">Режим работы, часов/день</t>
  </si>
  <si>
    <t xml:space="preserve">Рабочих дней в году</t>
  </si>
  <si>
    <t xml:space="preserve">2. МАКРОЭКОНОМИКА И ИНДЕКСАЦИЯ</t>
  </si>
  <si>
    <t xml:space="preserve">Год</t>
  </si>
  <si>
    <t xml:space="preserve">Инфляция / индексация</t>
  </si>
  <si>
    <t xml:space="preserve">Рост ФОТ</t>
  </si>
  <si>
    <t xml:space="preserve">Рост аренды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</si>
  <si>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</si>
  <si>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</si>
  <si>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</si>
  <si>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</si>
  <si>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</si>
  <si>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</si>
  <si>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</si>
  <si>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</si>
  <si>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3. ЦЕНООБРАЗОВАНИЕ (без НДС)</t>
  </si>
  <si>
    <t xml:space="preserve">Категория</t>
  </si>
  <si>
    <t xml:space="preserve">Базовая цена, ₽</t>
  </si>
  <si>
    <t xml:space="preserve">Себестоимость, ₽</t>
  </si>
  <si>
    <t xml:space="preserve">Маржа, %</t>
  </si>
  <si>
    <t xml:space="preserve">Эспрессо-напитки (латте, капучино, раф)</t>
  </si>
  <si>
    <t xml:space="preserve">Фильтр-кофе / альтернатива</t>
  </si>
  <si>
    <t xml:space="preserve">Авторские напитки (сезонные)</t>
  </si>
  <si>
    <t xml:space="preserve">Чай</t>
  </si>
  <si>
    <t xml:space="preserve">Какао / горячий шоколад</t>
  </si>
  <si>
    <t xml:space="preserve">Лимонады / прохладительные</t>
  </si>
  <si>
    <t xml:space="preserve">Круассаны, слойки</t>
  </si>
  <si>
    <t xml:space="preserve">Торты, пирожные (порция)</t>
  </si>
  <si>
    <t xml:space="preserve">Сэндвичи, тосты</t>
  </si>
  <si>
    <t xml:space="preserve">Печенье, маффины</t>
  </si>
  <si>
    <t xml:space="preserve">Фирменный мерч (кружки, текстиль)</t>
  </si>
  <si>
    <t xml:space="preserve">Упаковка зернового кофе 250г</t>
  </si>
  <si>
    <t xml:space="preserve">4. ОБЪЁМЫ ПРОДАЖ (порций/шт в месяц)</t>
  </si>
  <si>
    <t xml:space="preserve">Раскрутка (мес 1-7)</t>
  </si>
  <si>
    <t xml:space="preserve">Стабильный</t>
  </si>
  <si>
    <t xml:space="preserve">Высокий сезон (лето)</t>
  </si>
  <si>
    <t xml:space="preserve">Эспрессо-напитки</t>
  </si>
  <si>
    <t xml:space="preserve">Фильтр-кофе</t>
  </si>
  <si>
    <t xml:space="preserve">Авторские напитки</t>
  </si>
  <si>
    <t xml:space="preserve">Лимонады</t>
  </si>
  <si>
    <t xml:space="preserve">Торты, пирожные</t>
  </si>
  <si>
    <t xml:space="preserve">Фирменный мерч</t>
  </si>
  <si>
    <t xml:space="preserve">Упаковка кофе</t>
  </si>
  <si>
    <t xml:space="preserve">5. СЕЗОННЫЕ КОЭФФИЦИЕНТЫ (множитель к базовому объёму)</t>
  </si>
  <si>
    <t xml:space="preserve">Месяц</t>
  </si>
  <si>
    <t xml:space="preserve">Коэфф. напитки</t>
  </si>
  <si>
    <t xml:space="preserve">Коэфф. еда</t>
  </si>
  <si>
    <t xml:space="preserve">Коэфф. мерч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</si>
  <si>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</si>
  <si>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</si>
  <si>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</si>
  <si>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</si>
  <si>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</si>
  <si>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</si>
  <si>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</si>
  <si>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</si>
  <si>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</si>
  <si>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</si>
  <si>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</si>
  <si>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</si>
  <si>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Среднегодовой коэффициент</t>
  </si>
  <si>
    <t xml:space="preserve">6. ШТАТНОЕ РАСПИСАНИЕ</t>
  </si>
  <si>
    <t xml:space="preserve">Должность</t>
  </si>
  <si>
    <t xml:space="preserve">Кол-во, чел</t>
  </si>
  <si>
    <t xml:space="preserve">Оклад, ₽/мес</t>
  </si>
  <si>
    <t xml:space="preserve">Районный коэфф.</t>
  </si>
  <si>
    <t xml:space="preserve">Управляющий</t>
  </si>
  <si>
    <t xml:space="preserve">Старший бариста (сменный)</t>
  </si>
  <si>
    <t xml:space="preserve">Бариста</t>
  </si>
  <si>
    <t xml:space="preserve">Пекарь / кондитер</t>
  </si>
  <si>
    <t xml:space="preserve">Помощник пекаря</t>
  </si>
  <si>
    <t xml:space="preserve">Кассир</t>
  </si>
  <si>
    <t xml:space="preserve">Уборщик / подсобный</t>
  </si>
  <si>
    <t xml:space="preserve">Бухгалтер (аутсорс)</t>
  </si>
  <si>
    <t xml:space="preserve">7. ЕЖЕМЕСЯЧНЫЕ ОПЕРАЦИОННЫЕ РАСХОДЫ</t>
  </si>
  <si>
    <t xml:space="preserve">Статья</t>
  </si>
  <si>
    <t xml:space="preserve">Сумма, ₽/мес</t>
  </si>
  <si>
    <t xml:space="preserve">Тип (пост/перем)</t>
  </si>
  <si>
    <t xml:space="preserve">Примечание</t>
  </si>
  <si>
    <t xml:space="preserve">Аренда земельного участка</t>
  </si>
  <si>
    <t xml:space="preserve">Постоянные</t>
  </si>
  <si>
    <t xml:space="preserve">304 м², центр города</t>
  </si>
  <si>
    <t xml:space="preserve">Электроэнергия</t>
  </si>
  <si>
    <t xml:space="preserve">Арктика, повышенное потребление</t>
  </si>
  <si>
    <t xml:space="preserve">Отопление</t>
  </si>
  <si>
    <t xml:space="preserve">Центральное + доп. обогрев</t>
  </si>
  <si>
    <t xml:space="preserve">Водоснабжение и канализация</t>
  </si>
  <si>
    <t xml:space="preserve">Интернет и связь</t>
  </si>
  <si>
    <t xml:space="preserve">Охрана и видеонаблюдение (обслуживание)</t>
  </si>
  <si>
    <t xml:space="preserve">Страхование имущества</t>
  </si>
  <si>
    <t xml:space="preserve">Бухгалтерия и юридическое сопровождение</t>
  </si>
  <si>
    <t xml:space="preserve">Аутсорс</t>
  </si>
  <si>
    <t xml:space="preserve">Роялти франшизы (если есть)</t>
  </si>
  <si>
    <t xml:space="preserve">% от выручки или фикс</t>
  </si>
  <si>
    <t xml:space="preserve">Закупка кофейного зерна</t>
  </si>
  <si>
    <t xml:space="preserve">Переменные</t>
  </si>
  <si>
    <t xml:space="preserve">Specialty, ≈800₽/кг</t>
  </si>
  <si>
    <t xml:space="preserve">Закупка молока и сливок</t>
  </si>
  <si>
    <t xml:space="preserve">Закупка ингредиентов для выпечки</t>
  </si>
  <si>
    <t xml:space="preserve">Мука, масло, яйца, начинки</t>
  </si>
  <si>
    <t xml:space="preserve">Закупка чая, какао, сиропов</t>
  </si>
  <si>
    <t xml:space="preserve">Одноразовая посуда и упаковка</t>
  </si>
  <si>
    <t xml:space="preserve">Стаканы, крышки, пакеты</t>
  </si>
  <si>
    <t xml:space="preserve">Хозтовары и моющие средства</t>
  </si>
  <si>
    <t xml:space="preserve">Маркетинг и реклама (текущий)</t>
  </si>
  <si>
    <t xml:space="preserve">SMM, таргет, локальные акции</t>
  </si>
  <si>
    <t xml:space="preserve">Программа лояльности (кэшбэк)</t>
  </si>
  <si>
    <t xml:space="preserve">≈1.5% от выручки</t>
  </si>
  <si>
    <t xml:space="preserve">Эквайринг (комиссия)</t>
  </si>
  <si>
    <t xml:space="preserve">≈1.5-2% от безнала</t>
  </si>
  <si>
    <t xml:space="preserve">Обслуживание оборудования</t>
  </si>
  <si>
    <t xml:space="preserve">ТО кофемашин, печей</t>
  </si>
  <si>
    <t xml:space="preserve">Непредвиденные расходы</t>
  </si>
  <si>
    <t xml:space="preserve">Резерв 3-5%</t>
  </si>
  <si>
    <t xml:space="preserve">Логистика доставки расходников</t>
  </si>
  <si>
    <t xml:space="preserve">Навигация / авиа (Арктика)</t>
  </si>
  <si>
    <t xml:space="preserve">ИТОГО OPEX / мес</t>
  </si>
  <si>
    <t xml:space="preserve">  в т.ч. постоянные / мес</t>
  </si>
  <si>
    <t xml:space="preserve">  в т.ч. переменные / мес</t>
  </si>
  <si>
    <t xml:space="preserve">ИТОГО OPEX / год</t>
  </si>
  <si>
    <t xml:space="preserve">8. КАПИТАЛЬНЫЕ ЗАТРАТЫ (CAPEX)</t>
  </si>
  <si>
    <t xml:space="preserve">Сумма, ₽</t>
  </si>
  <si>
    <t xml:space="preserve">Срок аморт., лет</t>
  </si>
  <si>
    <t xml:space="preserve">Период</t>
  </si>
  <si>
    <t xml:space="preserve">ПРОЕКТИРОВАНИЕ И ИЗЫСКАНИЯ</t>
  </si>
  <si>
    <t xml:space="preserve">Геодезия, геология, техобследование</t>
  </si>
  <si>
    <t xml:space="preserve">—</t>
  </si>
  <si>
    <t xml:space="preserve">Q1 2026</t>
  </si>
  <si>
    <t xml:space="preserve">Проектирование павильона (АР, КР, ЭОМ, ВК, ОВ)</t>
  </si>
  <si>
    <t xml:space="preserve">СТРОИТЕЛЬСТВО</t>
  </si>
  <si>
    <t xml:space="preserve">Фундамент (буронабивные сваи + плита)</t>
  </si>
  <si>
    <t xml:space="preserve">Q2 2026</t>
  </si>
  <si>
    <t xml:space="preserve">Металлокаркас здания</t>
  </si>
  <si>
    <t xml:space="preserve">Q3 2026</t>
  </si>
  <si>
    <t xml:space="preserve">СИП-панели (стены, кровля)</t>
  </si>
  <si>
    <t xml:space="preserve">Энергосберегающие стеклопакеты</t>
  </si>
  <si>
    <t xml:space="preserve">Фасадные кассеты и утепление</t>
  </si>
  <si>
    <t xml:space="preserve">Инженерные сети (электрика)</t>
  </si>
  <si>
    <t xml:space="preserve">Q4 2026</t>
  </si>
  <si>
    <t xml:space="preserve">Инженерные сети (водоснабжение, канализация)</t>
  </si>
  <si>
    <t xml:space="preserve">Система отопления (котёл / тепловой узел)</t>
  </si>
  <si>
    <t xml:space="preserve">Приточно-вытяжная вентиляция</t>
  </si>
  <si>
    <t xml:space="preserve">Внутренняя отделка (пол, стены, потолок)</t>
  </si>
  <si>
    <t xml:space="preserve">Q1 2027</t>
  </si>
  <si>
    <t xml:space="preserve">Пожарная сигнализация и системы безопасности</t>
  </si>
  <si>
    <t xml:space="preserve">БЛАГОУСТРОЙСТВО</t>
  </si>
  <si>
    <t xml:space="preserve">Асфальтирование + тротуарная плитка</t>
  </si>
  <si>
    <t xml:space="preserve">Деревянная летняя терраса</t>
  </si>
  <si>
    <t xml:space="preserve">Уличная мебель (столы, стулья, зонты)</t>
  </si>
  <si>
    <t xml:space="preserve">Освещение территории</t>
  </si>
  <si>
    <t xml:space="preserve">Урны, велостоянка, навигация</t>
  </si>
  <si>
    <t xml:space="preserve">ОБОРУДОВАНИЕ КОФЕЙНИ</t>
  </si>
  <si>
    <t xml:space="preserve">Эспрессо-машина (двухгрупповая)</t>
  </si>
  <si>
    <t xml:space="preserve">сен 2026</t>
  </si>
  <si>
    <t xml:space="preserve">Кофемолки (эспрессо + фильтр)</t>
  </si>
  <si>
    <t xml:space="preserve">Фильтровая система (пуровер/батч)</t>
  </si>
  <si>
    <t xml:space="preserve">Молочный холодильник + питчер-ринсер</t>
  </si>
  <si>
    <t xml:space="preserve">Система водоподготовки (фильтрация)</t>
  </si>
  <si>
    <t xml:space="preserve">Льдогенератор</t>
  </si>
  <si>
    <t xml:space="preserve">Конвекционная печь</t>
  </si>
  <si>
    <t xml:space="preserve">Расстоечный шкаф</t>
  </si>
  <si>
    <t xml:space="preserve">Планетарный миксер</t>
  </si>
  <si>
    <t xml:space="preserve">Холодильник (2-дверный)</t>
  </si>
  <si>
    <t xml:space="preserve">Морозильная камера</t>
  </si>
  <si>
    <t xml:space="preserve">Холодильная витрина (кондитерская)</t>
  </si>
  <si>
    <t xml:space="preserve">Посудомоечная машина</t>
  </si>
  <si>
    <t xml:space="preserve">Водонагреватель (бойлер)</t>
  </si>
  <si>
    <t xml:space="preserve">Фильтр водоподготовки (кухня)</t>
  </si>
  <si>
    <t xml:space="preserve">МЕБЕЛЬ И ИНТЕРЬЕР</t>
  </si>
  <si>
    <t xml:space="preserve">Барная стойка (изготовление)</t>
  </si>
  <si>
    <t xml:space="preserve">Столы и стулья (зал, 20 мест)</t>
  </si>
  <si>
    <t xml:space="preserve">Диваны и мягкая мебель</t>
  </si>
  <si>
    <t xml:space="preserve">Декор и брендинг интерьера</t>
  </si>
  <si>
    <t xml:space="preserve">IT И КАССА</t>
  </si>
  <si>
    <t xml:space="preserve">POS-терминал + фискальный регистратор</t>
  </si>
  <si>
    <t xml:space="preserve">Планшет для кухни / бара</t>
  </si>
  <si>
    <t xml:space="preserve">Wi-Fi роутер (проф.)</t>
  </si>
  <si>
    <t xml:space="preserve">Акустическая система</t>
  </si>
  <si>
    <t xml:space="preserve">Видеонаблюдение (камеры + регистратор)</t>
  </si>
  <si>
    <t xml:space="preserve">ПРОЧИЕ КАПЗАТРАТЫ</t>
  </si>
  <si>
    <t xml:space="preserve">Франшизный паушальный взнос</t>
  </si>
  <si>
    <t xml:space="preserve">авг 2026</t>
  </si>
  <si>
    <t xml:space="preserve">Подключение и ТУ (электричество, вода, тепло)</t>
  </si>
  <si>
    <t xml:space="preserve">Логистика оборудования (навигация/авиа)</t>
  </si>
  <si>
    <t xml:space="preserve">Первоначальные оборотные запасы (4 мес)</t>
  </si>
  <si>
    <t xml:space="preserve">фев 2027</t>
  </si>
  <si>
    <t xml:space="preserve">Страхование и юрподдержка (предпуск)</t>
  </si>
  <si>
    <t xml:space="preserve">Маркетинг предоткрытия (анонсы, промо)</t>
  </si>
  <si>
    <t xml:space="preserve">ИТОГО CAPEX</t>
  </si>
  <si>
    <t xml:space="preserve">9. НАЛОГИ И ВЗНОСЫ</t>
  </si>
  <si>
    <t xml:space="preserve">Система налогообложения</t>
  </si>
  <si>
    <t xml:space="preserve">УСН «Доходы-расходы»</t>
  </si>
  <si>
    <t xml:space="preserve">Ставка УСН (первые 3 года, ТОР/АЗРФ)</t>
  </si>
  <si>
    <t xml:space="preserve">Ставка УСН (с 4-го года)</t>
  </si>
  <si>
    <t xml:space="preserve">Ставка страховых взносов (ТОР, 10 лет)</t>
  </si>
  <si>
    <t xml:space="preserve">Стандартная ставка страховых взносов</t>
  </si>
  <si>
    <t xml:space="preserve">НДС</t>
  </si>
  <si>
    <t xml:space="preserve">Налог на имущество (первые 5 лет, ТОР)</t>
  </si>
  <si>
    <t xml:space="preserve">Налог на имущество (следующие 5 лет)</t>
  </si>
  <si>
    <t xml:space="preserve">10. ФИНАНСИРОВАНИЕ</t>
  </si>
  <si>
    <t xml:space="preserve">Собственные средства, ₽</t>
  </si>
  <si>
    <t xml:space="preserve">Заёмные средства, ₽</t>
  </si>
  <si>
    <t xml:space="preserve">Ставка по кредиту, % годовых</t>
  </si>
  <si>
    <t xml:space="preserve">Срок кредита, лет</t>
  </si>
  <si>
    <t xml:space="preserve">Отсрочка (грейс), мес</t>
  </si>
  <si>
    <t xml:space="preserve">ОТЧЁТ О ПРИБЫЛЯХ И УБЫТКАХ (P&amp;L), ₽</t>
  </si>
  <si>
    <t xml:space="preserve">Выручка</t>
  </si>
  <si>
    <t xml:space="preserve">Себестоимость (COGS)</t>
  </si>
  <si>
    <t xml:space="preserve">ВАЛОВАЯ ПРИБЫЛЬ</t>
  </si>
  <si>
    <t xml:space="preserve">  Валовая маржа, %</t>
  </si>
  <si>
    <t xml:space="preserve">ОПЕРАЦИОННЫЕ РАСХОДЫ</t>
  </si>
  <si>
    <t xml:space="preserve">ФОТ (зарплаты)</t>
  </si>
  <si>
    <t xml:space="preserve">Страховые взносы</t>
  </si>
  <si>
    <t xml:space="preserve">Постоянные расходы (аренда, комм., маркетинг)</t>
  </si>
  <si>
    <t xml:space="preserve">Переменные расходы (упаковка, эквайринг, лояльность)</t>
  </si>
  <si>
    <t xml:space="preserve">ИТОГО ОПЕРАЦИОННЫЕ РАСХОДЫ</t>
  </si>
  <si>
    <t xml:space="preserve">EBITDA</t>
  </si>
  <si>
    <t xml:space="preserve">  Маржа EBITDA, %</t>
  </si>
  <si>
    <t xml:space="preserve">Амортизация (линейная, ~10 лет)</t>
  </si>
  <si>
    <t xml:space="preserve">EBIT (операционная прибыль)</t>
  </si>
  <si>
    <t xml:space="preserve">Налог УСН (5% первые 3 года, 10% далее)</t>
  </si>
  <si>
    <t xml:space="preserve">ЧИСТАЯ ПРИБЫЛЬ</t>
  </si>
  <si>
    <t xml:space="preserve">  Рентабельность чистой прибыли, %</t>
  </si>
  <si>
    <t xml:space="preserve">ДВИЖЕНИЕ ДЕНЕЖНЫХ СРЕДСТВ (CASH FLOW), ₽</t>
  </si>
  <si>
    <t xml:space="preserve">ОПЕРАЦИОННАЯ ДЕЯТЕЛЬНОСТЬ</t>
  </si>
  <si>
    <t xml:space="preserve">Чистая прибыль</t>
  </si>
  <si>
    <t xml:space="preserve">+ Амортизация (неденежная)</t>
  </si>
  <si>
    <t xml:space="preserve">Операционный денежный поток</t>
  </si>
  <si>
    <t xml:space="preserve">ИНВЕСТИЦИОННАЯ ДЕЯТЕЛЬНОСТЬ</t>
  </si>
  <si>
    <t xml:space="preserve">CAPEX (капитальные затраты)</t>
  </si>
  <si>
    <t xml:space="preserve">Замена оборудования (реинвест)</t>
  </si>
  <si>
    <t xml:space="preserve">Инвестиционный денежный поток</t>
  </si>
  <si>
    <t xml:space="preserve">ФИНАНСОВАЯ ДЕЯТЕЛЬНОСТЬ</t>
  </si>
  <si>
    <t xml:space="preserve">Получение кредита</t>
  </si>
  <si>
    <t xml:space="preserve">Погашение тела кредита</t>
  </si>
  <si>
    <t xml:space="preserve">Проценты по кредиту (18%)</t>
  </si>
  <si>
    <t xml:space="preserve">Вложение собственных средств</t>
  </si>
  <si>
    <t xml:space="preserve">Финансовый денежный поток</t>
  </si>
  <si>
    <t xml:space="preserve">ЧИСТЫЙ ДЕНЕЖНЫЙ ПОТОК (NCF)</t>
  </si>
  <si>
    <t xml:space="preserve">Накопленный денежный поток</t>
  </si>
  <si>
    <t xml:space="preserve">Остаток ДС на конец года</t>
  </si>
  <si>
    <t xml:space="preserve">ДЕТАЛЬНЫЙ РАСЧЁТ ВЫРУЧКИ, ₽</t>
  </si>
  <si>
    <t xml:space="preserve">ЭСПРЕССО-НАПИТКИ</t>
  </si>
  <si>
    <t xml:space="preserve">Цена за ед., ₽</t>
  </si>
  <si>
    <t xml:space="preserve">Объём продаж, ед./мес</t>
  </si>
  <si>
    <t xml:space="preserve">Месяцев работы</t>
  </si>
  <si>
    <t xml:space="preserve">Выручка, ₽</t>
  </si>
  <si>
    <t xml:space="preserve">Итого себестоимость, ₽</t>
  </si>
  <si>
    <t xml:space="preserve">Валовая маржа, ₽</t>
  </si>
  <si>
    <t xml:space="preserve">Маржинальность, %</t>
  </si>
  <si>
    <t xml:space="preserve">ФИЛЬТР-КОФЕ</t>
  </si>
  <si>
    <t xml:space="preserve">АВТОРСКИЕ НАПИТКИ</t>
  </si>
  <si>
    <t xml:space="preserve">ЧАЙ</t>
  </si>
  <si>
    <t xml:space="preserve">КАКАО / ГОРЯЧИЙ ШОКОЛАД</t>
  </si>
  <si>
    <t xml:space="preserve">ЛИМОНАДЫ</t>
  </si>
  <si>
    <t xml:space="preserve">КРУАССАНЫ, СЛОЙКИ</t>
  </si>
  <si>
    <t xml:space="preserve">ТОРТЫ, ПИРОЖНЫЕ</t>
  </si>
  <si>
    <t xml:space="preserve">СЭНДВИЧИ, ТОСТЫ</t>
  </si>
  <si>
    <t xml:space="preserve">ПЕЧЕНЬЕ, МАФФИНЫ</t>
  </si>
  <si>
    <t xml:space="preserve">ФИРМЕННЫЙ МЕРЧ</t>
  </si>
  <si>
    <t xml:space="preserve">УПАКОВКА КОФЕ</t>
  </si>
  <si>
    <t xml:space="preserve">ИТОГО ВЫРУЧКА, ₽</t>
  </si>
  <si>
    <t xml:space="preserve">ИТОГО СЕБЕСТОИМОСТЬ, ₽</t>
  </si>
  <si>
    <t xml:space="preserve">ВАЛОВАЯ ПРИБЫЛЬ, ₽</t>
  </si>
  <si>
    <t xml:space="preserve">Валовая маржинальность, %</t>
  </si>
  <si>
    <t xml:space="preserve">КЛЮЧЕВЫЕ ПОКАЗАТЕЛИ ЭФФЕКТИВНОСТИ</t>
  </si>
  <si>
    <t xml:space="preserve">Показатель</t>
  </si>
  <si>
    <t xml:space="preserve">Выручка на 1 м² зала, ₽/год</t>
  </si>
  <si>
    <t xml:space="preserve">Выручка на посадочное место, ₽/год</t>
  </si>
  <si>
    <t xml:space="preserve">Средний чек (расчётный), ₽</t>
  </si>
  <si>
    <t xml:space="preserve">Количество чеков в день (расчётное)</t>
  </si>
  <si>
    <t xml:space="preserve">РЕНТАБЕЛЬНОСТЬ</t>
  </si>
  <si>
    <t xml:space="preserve">Маржа EBITDA, %</t>
  </si>
  <si>
    <t xml:space="preserve">Рентабельность чистой прибыли, %</t>
  </si>
  <si>
    <t xml:space="preserve">ROI (возврат на инвестиции), %</t>
  </si>
  <si>
    <t xml:space="preserve">ИНВЕСТИЦИОННАЯ ОЦЕНКА</t>
  </si>
  <si>
    <t xml:space="preserve">Общий объём инвестиций, ₽</t>
  </si>
  <si>
    <t xml:space="preserve">  из них собственные, ₽</t>
  </si>
  <si>
    <t xml:space="preserve">  из них заёмные, ₽</t>
  </si>
  <si>
    <t xml:space="preserve">IRR (внутренняя норма доходности)</t>
  </si>
  <si>
    <t xml:space="preserve">Срок окупаемости (простой), лет</t>
  </si>
  <si>
    <t xml:space="preserve">Точка безубыточности, год</t>
  </si>
  <si>
    <t xml:space="preserve">Остаточная стоимость объекта, ₽</t>
  </si>
  <si>
    <t xml:space="preserve">ДОЛЯ РАСХОДОВ В ВЫРУЧКЕ</t>
  </si>
  <si>
    <t xml:space="preserve">ФОТ + взносы / Выручка</t>
  </si>
  <si>
    <t xml:space="preserve">COGS / Выручка</t>
  </si>
  <si>
    <t xml:space="preserve">Постоянные OPEX / Выручка</t>
  </si>
  <si>
    <t xml:space="preserve">Переменные OPEX (без COGS) / Выручка</t>
  </si>
  <si>
    <t xml:space="preserve">ФОНД ОПЛАТЫ ТРУДА (ДЕТАЛЬНЫЙ), ₽</t>
  </si>
  <si>
    <t xml:space="preserve">УПРАВЛЯЮЩИЙ</t>
  </si>
  <si>
    <t xml:space="preserve">Количество, чел</t>
  </si>
  <si>
    <t xml:space="preserve">Оклад (без РК), ₽/мес</t>
  </si>
  <si>
    <t xml:space="preserve">Районный коэффициент</t>
  </si>
  <si>
    <t xml:space="preserve">Зарплата с РК, ₽/мес</t>
  </si>
  <si>
    <t xml:space="preserve">ФОТ за год, ₽</t>
  </si>
  <si>
    <t xml:space="preserve">Страховые взносы (7.6%), ₽</t>
  </si>
  <si>
    <t xml:space="preserve">СТАРШИЙ БАРИСТА</t>
  </si>
  <si>
    <t xml:space="preserve">БАРИСТА</t>
  </si>
  <si>
    <t xml:space="preserve">ПЕКАРЬ / КОНДИТЕР</t>
  </si>
  <si>
    <t xml:space="preserve">ПОМОЩНИК ПЕКАРЯ</t>
  </si>
  <si>
    <t xml:space="preserve">КАССИР</t>
  </si>
  <si>
    <t xml:space="preserve">УБОРЩИК</t>
  </si>
  <si>
    <t xml:space="preserve">БУХГАЛТЕР (АУТСОРС)</t>
  </si>
  <si>
    <t xml:space="preserve">ИТОГО ФОТ (зарплаты), ₽</t>
  </si>
  <si>
    <t xml:space="preserve">ИТОГО СТРАХОВЫЕ ВЗНОСЫ, ₽</t>
  </si>
  <si>
    <t xml:space="preserve">ИТОГО ФОТ + ВЗНОСЫ, ₽</t>
  </si>
  <si>
    <t xml:space="preserve">КАПИТАЛЬНЫЕ ЗАТРАТЫ ПО ГОДАМ, ₽</t>
  </si>
  <si>
    <t xml:space="preserve">Категория CAPEX</t>
  </si>
  <si>
    <t xml:space="preserve">Проектирование и изыскания</t>
  </si>
  <si>
    <t xml:space="preserve">Строительство (фундамент, каркас, панели, фасад)</t>
  </si>
  <si>
    <t xml:space="preserve">Инженерные сети (электрика, вода, отопление, вентиляция)</t>
  </si>
  <si>
    <t xml:space="preserve">Внутренняя отделка и безопасность</t>
  </si>
  <si>
    <t xml:space="preserve">Благоустройство территории</t>
  </si>
  <si>
    <t xml:space="preserve">Кофейное оборудование</t>
  </si>
  <si>
    <t xml:space="preserve">Пекарское и холодильное оборудование</t>
  </si>
  <si>
    <t xml:space="preserve">Мебель и интерьер (зал + терраса)</t>
  </si>
  <si>
    <t xml:space="preserve">IT, касса, видеонаблюдение</t>
  </si>
  <si>
    <t xml:space="preserve">Франшиза, логистика, страхование</t>
  </si>
  <si>
    <t xml:space="preserve">Подключение ТУ</t>
  </si>
  <si>
    <t xml:space="preserve">Оборотные запасы + маркетинг предоткрытия</t>
  </si>
  <si>
    <t xml:space="preserve">ИТОГО CAPEX ПО ГОДАМ</t>
  </si>
  <si>
    <t xml:space="preserve">ИТОГО CAPEX НАКОПЛЕННЫЙ</t>
  </si>
  <si>
    <t xml:space="preserve">ОПЕРАЦИОННЫЕ РАСХОДЫ (ДЕТАЛЬНЫЕ), ₽</t>
  </si>
  <si>
    <t xml:space="preserve">Статья расходов</t>
  </si>
  <si>
    <t xml:space="preserve">ПОСТОЯННЫЕ РАСХОДЫ</t>
  </si>
  <si>
    <t xml:space="preserve">200,000 ₽/мес (базовая)</t>
  </si>
  <si>
    <t xml:space="preserve">85,000 ₽/мес (базовая)</t>
  </si>
  <si>
    <t xml:space="preserve">120,000 ₽/мес (базовая)</t>
  </si>
  <si>
    <t xml:space="preserve">15,000 ₽/мес (базовая)</t>
  </si>
  <si>
    <t xml:space="preserve">8,000 ₽/мес (базовая)</t>
  </si>
  <si>
    <t xml:space="preserve">Охрана и видеонаблюдение</t>
  </si>
  <si>
    <t xml:space="preserve">12,000 ₽/мес (базовая)</t>
  </si>
  <si>
    <t xml:space="preserve">Роялти франшизы</t>
  </si>
  <si>
    <t xml:space="preserve">50,000 ₽/мес (базовая)</t>
  </si>
  <si>
    <t xml:space="preserve">Маркетинг и реклама</t>
  </si>
  <si>
    <t xml:space="preserve">45,000 ₽/мес (базовая)</t>
  </si>
  <si>
    <t xml:space="preserve">20,000 ₽/мес (базовая)</t>
  </si>
  <si>
    <t xml:space="preserve">Логистика расходников (Арктика)</t>
  </si>
  <si>
    <t xml:space="preserve">60,000 ₽/мес (базовая)</t>
  </si>
  <si>
    <t xml:space="preserve">30,000 ₽/мес (базовая)</t>
  </si>
  <si>
    <t xml:space="preserve">ИТОГО ПОСТОЯННЫЕ, ₽</t>
  </si>
  <si>
    <t xml:space="preserve">ПЕРЕМЕННЫЕ РАСХОДЫ</t>
  </si>
  <si>
    <t xml:space="preserve">Себестоимость продукции (COGS)</t>
  </si>
  <si>
    <t xml:space="preserve">2.5% от выручки</t>
  </si>
  <si>
    <t xml:space="preserve">1.5% от выручки</t>
  </si>
  <si>
    <t xml:space="preserve">Эквайринг (комиссия ~1.7%)</t>
  </si>
  <si>
    <t xml:space="preserve">1.7% от выручки</t>
  </si>
  <si>
    <t xml:space="preserve">ИТОГО ПЕРЕМЕННЫЕ, ₽</t>
  </si>
  <si>
    <t xml:space="preserve">ИТОГО OPEX (без ФОТ), ₽</t>
  </si>
  <si>
    <t xml:space="preserve">АНАЛИЗ ТОЧКИ БЕЗУБЫТОЧНОСТИ (BEP)</t>
  </si>
  <si>
    <t xml:space="preserve">В месяц, ₽</t>
  </si>
  <si>
    <t xml:space="preserve">В год, ₽</t>
  </si>
  <si>
    <t xml:space="preserve">Постоянные расходы (аренда, комм., охрана и пр.)</t>
  </si>
  <si>
    <t xml:space="preserve">ФОТ + страховые взносы</t>
  </si>
  <si>
    <t xml:space="preserve">ИТОГО постоянных, ₽/мес</t>
  </si>
  <si>
    <t xml:space="preserve">Средний чек, ₽</t>
  </si>
  <si>
    <t xml:space="preserve">Средняя себестоимость чека, ₽</t>
  </si>
  <si>
    <t xml:space="preserve">Маржинальный доход с чека, ₽</t>
  </si>
  <si>
    <t xml:space="preserve">ТОЧКА БЕЗУБЫТОЧНОСТИ, чеков/мес</t>
  </si>
  <si>
    <t xml:space="preserve">ТОЧКА БЕЗУБЫТОЧНОСТИ, чеков/день</t>
  </si>
  <si>
    <t xml:space="preserve">ТОЧКА БЕЗУБЫТОЧНОСТИ, ₽/мес</t>
  </si>
  <si>
    <t xml:space="preserve">ТОЧКА БЕЗУБЫТОЧНОСТИ, ₽/год</t>
  </si>
  <si>
    <t xml:space="preserve">Запас прочности при стабильной выручке (~1.4 млн/мес)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</si>
</sst>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"/>
    <numFmt numFmtId="167" formatCode="0.0%"/>
    <numFmt numFmtId="168" formatCode="#,##0&quot; ₽&quot;"/>
    <numFmt numFmtId="169" formatCode="0.00"/>
    <numFmt numFmtId="170" formatCode="0.0"/>
    <numFmt numFmtId="171" formatCode="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2F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888888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99CCFF"/>
      </patternFill>
    </fill>
    <fill>
      <patternFill patternType="solid">
        <fgColor rgb="FF2F5496"/>
        <bgColor rgb="FF0066CC"/>
      </patternFill>
    </fill>
    <fill>
      <patternFill patternType="solid">
        <fgColor rgb="FFE2EFDA"/>
        <bgColor rgb="FFD6E4F0"/>
      </patternFill>
    </fill>
    <fill>
      <patternFill patternType="solid">
        <fgColor rgb="FFFCE4EC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88888"/>
      <rgbColor rgb="FF9999FF"/>
      <rgbColor rgb="FF993366"/>
      <rgbColor rgb="FFFCE4E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4" min="2" style="0" width="20"/>
  </cols>
  <sheetData>
    <row r="1" customFormat="false" ht="32.8" hidden="false" customHeight="false" outlineLevel="0" collapsed="false">
      <c r="A1" s="1" t="s">
        <v>0</v>
      </c>
    </row>
    <row r="2" customFormat="false" ht="23.8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/>
      <c r="C4" s="3"/>
      <c r="D4" s="3"/>
    </row>
    <row r="5" customFormat="false" ht="15" hidden="false" customHeight="false" outlineLevel="0" collapsed="false">
      <c r="A5" s="4" t="s">
        <v>3</v>
      </c>
      <c r="B5" s="5" t="s">
        <v>4</v>
      </c>
    </row>
    <row r="6" customFormat="false" ht="15" hidden="false" customHeight="false" outlineLevel="0" collapsed="false">
      <c r="A6" s="4" t="s">
        <v>5</v>
      </c>
      <c r="B6" s="5" t="s">
        <v>6</v>
      </c>
    </row>
    <row r="7" customFormat="false" ht="15" hidden="false" customHeight="false" outlineLevel="0" collapsed="false">
      <c r="A7" s="4" t="s">
        <v>7</v>
      </c>
      <c r="B7" s="5" t="s">
        <v>8</v>
      </c>
    </row>
    <row r="8" customFormat="false" ht="15" hidden="false" customHeight="false" outlineLevel="0" collapsed="false">
      <c r="A8" s="4" t="s">
        <v>9</v>
      </c>
      <c r="B8" s="6" t="n">
        <v>8</v>
      </c>
    </row>
    <row r="9" customFormat="false" ht="15" hidden="false" customHeight="false" outlineLevel="0" collapsed="false">
      <c r="A9" s="4" t="s">
        <v>10</v>
      </c>
      <c r="B9" s="6" t="n">
        <v>304</v>
      </c>
    </row>
    <row r="10" customFormat="false" ht="15" hidden="false" customHeight="false" outlineLevel="0" collapsed="false">
      <c r="A10" s="4" t="s">
        <v>11</v>
      </c>
      <c r="B10" s="6" t="n">
        <v>65</v>
      </c>
    </row>
    <row r="11" customFormat="false" ht="15" hidden="false" customHeight="false" outlineLevel="0" collapsed="false">
      <c r="A11" s="4" t="s">
        <v>12</v>
      </c>
      <c r="B11" s="6" t="n">
        <v>35</v>
      </c>
    </row>
    <row r="12" customFormat="false" ht="15" hidden="false" customHeight="false" outlineLevel="0" collapsed="false">
      <c r="A12" s="4" t="s">
        <v>13</v>
      </c>
      <c r="B12" s="6" t="n">
        <v>100</v>
      </c>
    </row>
    <row r="13" customFormat="false" ht="15" hidden="false" customHeight="false" outlineLevel="0" collapsed="false">
      <c r="A13" s="4" t="s">
        <v>14</v>
      </c>
      <c r="B13" s="6" t="n">
        <v>20</v>
      </c>
    </row>
    <row r="14" customFormat="false" ht="15" hidden="false" customHeight="false" outlineLevel="0" collapsed="false">
      <c r="A14" s="4" t="s">
        <v>15</v>
      </c>
      <c r="B14" s="6" t="n">
        <v>12</v>
      </c>
    </row>
    <row r="15" customFormat="false" ht="15" hidden="false" customHeight="false" outlineLevel="0" collapsed="false">
      <c r="A15" s="4" t="s">
        <v>16</v>
      </c>
      <c r="B15" s="6" t="n">
        <v>12</v>
      </c>
    </row>
    <row r="16" customFormat="false" ht="15" hidden="false" customHeight="false" outlineLevel="0" collapsed="false">
      <c r="A16" s="4" t="s">
        <v>17</v>
      </c>
      <c r="B16" s="6" t="n">
        <v>360</v>
      </c>
    </row>
    <row r="18" customFormat="false" ht="15" hidden="false" customHeight="false" outlineLevel="0" collapsed="false">
      <c r="A18" s="3" t="s">
        <v>18</v>
      </c>
      <c r="B18" s="3"/>
      <c r="C18" s="3"/>
      <c r="D18" s="3"/>
    </row>
    <row r="19" customFormat="false" ht="23.85" hidden="false" customHeight="false" outlineLevel="0" collapsed="false">
      <c r="A19" s="7" t="s">
        <v>19</v>
      </c>
      <c r="B19" s="8" t="s">
        <v>20</v>
      </c>
      <c r="C19" s="8" t="s">
        <v>21</v>
      </c>
      <c r="D19" s="8" t="s">
        <v>22</v>
      </c>
    </row>
    <row r="20" customFormat="false" ht="15" hidden="false" customHeight="false" outlineLevel="0" collapsed="false">
      <c r="A20" s="9" t="s">
        <v>23</v>
      </c>
      <c r="B20" s="10" t="n">
        <v>0.047</v>
      </c>
      <c r="C20" s="10" t="n">
        <v>0.05</v>
      </c>
      <c r="D20" s="10" t="n">
        <v>0</v>
      </c>
    </row>
    <row r="21" customFormat="false" ht="15" hidden="false" customHeight="false" outlineLevel="0" collapsed="false">
      <c r="A21" s="9" t="s">
        <v>24</v>
      </c>
      <c r="B21" s="10" t="n">
        <v>0.043</v>
      </c>
      <c r="C21" s="10" t="n">
        <v>0.05</v>
      </c>
      <c r="D21" s="10" t="n">
        <v>0.05</v>
      </c>
    </row>
    <row r="22" customFormat="false" ht="15" hidden="false" customHeight="false" outlineLevel="0" collapsed="false">
      <c r="A22" s="9" t="s">
        <v>25</v>
      </c>
      <c r="B22" s="10" t="n">
        <v>0.04</v>
      </c>
      <c r="C22" s="10" t="n">
        <v>0.05</v>
      </c>
      <c r="D22" s="10" t="n">
        <v>0.05</v>
      </c>
    </row>
    <row r="23" customFormat="false" ht="15" hidden="false" customHeight="false" outlineLevel="0" collapsed="false">
      <c r="A23" s="9" t="s">
        <v>26</v>
      </c>
      <c r="B23" s="10" t="n">
        <v>0.04</v>
      </c>
      <c r="C23" s="10" t="n">
        <v>0.045</v>
      </c>
      <c r="D23" s="10" t="n">
        <v>0.05</v>
      </c>
    </row>
    <row r="24" customFormat="false" ht="15" hidden="false" customHeight="false" outlineLevel="0" collapsed="false">
      <c r="A24" s="9" t="s">
        <v>27</v>
      </c>
      <c r="B24" s="10" t="n">
        <v>0.04</v>
      </c>
      <c r="C24" s="10" t="n">
        <v>0.045</v>
      </c>
      <c r="D24" s="10" t="n">
        <v>0.05</v>
      </c>
    </row>
    <row r="25" customFormat="false" ht="15" hidden="false" customHeight="false" outlineLevel="0" collapsed="false">
      <c r="A25" s="9" t="s">
        <v>28</v>
      </c>
      <c r="B25" s="10" t="n">
        <v>0.04</v>
      </c>
      <c r="C25" s="10" t="n">
        <v>0.04</v>
      </c>
      <c r="D25" s="10" t="n">
        <v>0.05</v>
      </c>
    </row>
    <row r="26" customFormat="false" ht="15" hidden="false" customHeight="false" outlineLevel="0" collapsed="false">
      <c r="A26" s="9" t="s">
        <v>29</v>
      </c>
      <c r="B26" s="10" t="n">
        <v>0.04</v>
      </c>
      <c r="C26" s="10" t="n">
        <v>0.04</v>
      </c>
      <c r="D26" s="10" t="n">
        <v>0.05</v>
      </c>
    </row>
    <row r="27" customFormat="false" ht="15" hidden="false" customHeight="false" outlineLevel="0" collapsed="false">
      <c r="A27" s="9" t="s">
        <v>30</v>
      </c>
      <c r="B27" s="10" t="n">
        <v>0.04</v>
      </c>
      <c r="C27" s="10" t="n">
        <v>0.04</v>
      </c>
      <c r="D27" s="10" t="n">
        <v>0.05</v>
      </c>
    </row>
    <row r="29" customFormat="false" ht="15" hidden="false" customHeight="false" outlineLevel="0" collapsed="false">
      <c r="A29" s="3" t="s">
        <v>31</v>
      </c>
      <c r="B29" s="3"/>
      <c r="C29" s="3"/>
      <c r="D29" s="3"/>
    </row>
    <row r="30" customFormat="false" ht="15" hidden="false" customHeight="false" outlineLevel="0" collapsed="false">
      <c r="A30" s="7" t="s">
        <v>32</v>
      </c>
      <c r="B30" s="8" t="s">
        <v>33</v>
      </c>
      <c r="C30" s="8" t="s">
        <v>34</v>
      </c>
      <c r="D30" s="8" t="s">
        <v>35</v>
      </c>
    </row>
    <row r="31" customFormat="false" ht="15" hidden="false" customHeight="false" outlineLevel="0" collapsed="false">
      <c r="A31" s="4" t="s">
        <v>36</v>
      </c>
      <c r="B31" s="11" t="n">
        <v>368</v>
      </c>
      <c r="C31" s="11" t="n">
        <v>85</v>
      </c>
      <c r="D31" s="12" t="n">
        <f aca="false">IF(B31=0,0,(B31-C31)/B31)</f>
        <v>0.769021739130435</v>
      </c>
    </row>
    <row r="32" customFormat="false" ht="15" hidden="false" customHeight="false" outlineLevel="0" collapsed="false">
      <c r="A32" s="4" t="s">
        <v>37</v>
      </c>
      <c r="B32" s="11" t="n">
        <v>280</v>
      </c>
      <c r="C32" s="11" t="n">
        <v>55</v>
      </c>
      <c r="D32" s="12" t="n">
        <f aca="false">IF(B32=0,0,(B32-C32)/B32)</f>
        <v>0.803571428571429</v>
      </c>
    </row>
    <row r="33" customFormat="false" ht="15" hidden="false" customHeight="false" outlineLevel="0" collapsed="false">
      <c r="A33" s="4" t="s">
        <v>38</v>
      </c>
      <c r="B33" s="11" t="n">
        <v>420</v>
      </c>
      <c r="C33" s="11" t="n">
        <v>110</v>
      </c>
      <c r="D33" s="12" t="n">
        <f aca="false">IF(B33=0,0,(B33-C33)/B33)</f>
        <v>0.738095238095238</v>
      </c>
    </row>
    <row r="34" customFormat="false" ht="15" hidden="false" customHeight="false" outlineLevel="0" collapsed="false">
      <c r="A34" s="4" t="s">
        <v>39</v>
      </c>
      <c r="B34" s="11" t="n">
        <v>220</v>
      </c>
      <c r="C34" s="11" t="n">
        <v>40</v>
      </c>
      <c r="D34" s="12" t="n">
        <f aca="false">IF(B34=0,0,(B34-C34)/B34)</f>
        <v>0.818181818181818</v>
      </c>
    </row>
    <row r="35" customFormat="false" ht="15" hidden="false" customHeight="false" outlineLevel="0" collapsed="false">
      <c r="A35" s="4" t="s">
        <v>40</v>
      </c>
      <c r="B35" s="11" t="n">
        <v>260</v>
      </c>
      <c r="C35" s="11" t="n">
        <v>65</v>
      </c>
      <c r="D35" s="12" t="n">
        <f aca="false">IF(B35=0,0,(B35-C35)/B35)</f>
        <v>0.75</v>
      </c>
    </row>
    <row r="36" customFormat="false" ht="15" hidden="false" customHeight="false" outlineLevel="0" collapsed="false">
      <c r="A36" s="4" t="s">
        <v>41</v>
      </c>
      <c r="B36" s="11" t="n">
        <v>250</v>
      </c>
      <c r="C36" s="11" t="n">
        <v>55</v>
      </c>
      <c r="D36" s="12" t="n">
        <f aca="false">IF(B36=0,0,(B36-C36)/B36)</f>
        <v>0.78</v>
      </c>
    </row>
    <row r="37" customFormat="false" ht="15" hidden="false" customHeight="false" outlineLevel="0" collapsed="false">
      <c r="A37" s="4" t="s">
        <v>42</v>
      </c>
      <c r="B37" s="11" t="n">
        <v>220</v>
      </c>
      <c r="C37" s="11" t="n">
        <v>70</v>
      </c>
      <c r="D37" s="12" t="n">
        <f aca="false">IF(B37=0,0,(B37-C37)/B37)</f>
        <v>0.681818181818182</v>
      </c>
    </row>
    <row r="38" customFormat="false" ht="15" hidden="false" customHeight="false" outlineLevel="0" collapsed="false">
      <c r="A38" s="4" t="s">
        <v>43</v>
      </c>
      <c r="B38" s="11" t="n">
        <v>350</v>
      </c>
      <c r="C38" s="11" t="n">
        <v>100</v>
      </c>
      <c r="D38" s="12" t="n">
        <f aca="false">IF(B38=0,0,(B38-C38)/B38)</f>
        <v>0.714285714285714</v>
      </c>
    </row>
    <row r="39" customFormat="false" ht="15" hidden="false" customHeight="false" outlineLevel="0" collapsed="false">
      <c r="A39" s="4" t="s">
        <v>44</v>
      </c>
      <c r="B39" s="11" t="n">
        <v>320</v>
      </c>
      <c r="C39" s="11" t="n">
        <v>95</v>
      </c>
      <c r="D39" s="12" t="n">
        <f aca="false">IF(B39=0,0,(B39-C39)/B39)</f>
        <v>0.703125</v>
      </c>
    </row>
    <row r="40" customFormat="false" ht="15" hidden="false" customHeight="false" outlineLevel="0" collapsed="false">
      <c r="A40" s="4" t="s">
        <v>45</v>
      </c>
      <c r="B40" s="11" t="n">
        <v>180</v>
      </c>
      <c r="C40" s="11" t="n">
        <v>50</v>
      </c>
      <c r="D40" s="12" t="n">
        <f aca="false">IF(B40=0,0,(B40-C40)/B40)</f>
        <v>0.722222222222222</v>
      </c>
    </row>
    <row r="41" customFormat="false" ht="15" hidden="false" customHeight="false" outlineLevel="0" collapsed="false">
      <c r="A41" s="4" t="s">
        <v>46</v>
      </c>
      <c r="B41" s="11" t="n">
        <v>2000</v>
      </c>
      <c r="C41" s="11" t="n">
        <v>650</v>
      </c>
      <c r="D41" s="12" t="n">
        <f aca="false">IF(B41=0,0,(B41-C41)/B41)</f>
        <v>0.675</v>
      </c>
    </row>
    <row r="42" customFormat="false" ht="15" hidden="false" customHeight="false" outlineLevel="0" collapsed="false">
      <c r="A42" s="4" t="s">
        <v>47</v>
      </c>
      <c r="B42" s="11" t="n">
        <v>1200</v>
      </c>
      <c r="C42" s="11" t="n">
        <v>420</v>
      </c>
      <c r="D42" s="12" t="n">
        <f aca="false">IF(B42=0,0,(B42-C42)/B42)</f>
        <v>0.65</v>
      </c>
    </row>
    <row r="44" customFormat="false" ht="15" hidden="false" customHeight="false" outlineLevel="0" collapsed="false">
      <c r="A44" s="3" t="s">
        <v>48</v>
      </c>
      <c r="B44" s="3"/>
      <c r="C44" s="3"/>
      <c r="D44" s="3"/>
    </row>
    <row r="45" customFormat="false" ht="23.85" hidden="false" customHeight="false" outlineLevel="0" collapsed="false">
      <c r="A45" s="7" t="s">
        <v>32</v>
      </c>
      <c r="B45" s="8" t="s">
        <v>49</v>
      </c>
      <c r="C45" s="8" t="s">
        <v>50</v>
      </c>
      <c r="D45" s="8" t="s">
        <v>51</v>
      </c>
    </row>
    <row r="46" customFormat="false" ht="15" hidden="false" customHeight="false" outlineLevel="0" collapsed="false">
      <c r="A46" s="4" t="s">
        <v>52</v>
      </c>
      <c r="B46" s="6" t="n">
        <v>700</v>
      </c>
      <c r="C46" s="6" t="n">
        <v>1500</v>
      </c>
      <c r="D46" s="6" t="n">
        <v>2200</v>
      </c>
    </row>
    <row r="47" customFormat="false" ht="15" hidden="false" customHeight="false" outlineLevel="0" collapsed="false">
      <c r="A47" s="4" t="s">
        <v>53</v>
      </c>
      <c r="B47" s="6" t="n">
        <v>200</v>
      </c>
      <c r="C47" s="6" t="n">
        <v>400</v>
      </c>
      <c r="D47" s="6" t="n">
        <v>550</v>
      </c>
    </row>
    <row r="48" customFormat="false" ht="15" hidden="false" customHeight="false" outlineLevel="0" collapsed="false">
      <c r="A48" s="4" t="s">
        <v>54</v>
      </c>
      <c r="B48" s="6" t="n">
        <v>100</v>
      </c>
      <c r="C48" s="6" t="n">
        <v>200</v>
      </c>
      <c r="D48" s="6" t="n">
        <v>350</v>
      </c>
    </row>
    <row r="49" customFormat="false" ht="15" hidden="false" customHeight="false" outlineLevel="0" collapsed="false">
      <c r="A49" s="4" t="s">
        <v>39</v>
      </c>
      <c r="B49" s="6" t="n">
        <v>200</v>
      </c>
      <c r="C49" s="6" t="n">
        <v>350</v>
      </c>
      <c r="D49" s="6" t="n">
        <v>300</v>
      </c>
    </row>
    <row r="50" customFormat="false" ht="15" hidden="false" customHeight="false" outlineLevel="0" collapsed="false">
      <c r="A50" s="4" t="s">
        <v>40</v>
      </c>
      <c r="B50" s="6" t="n">
        <v>150</v>
      </c>
      <c r="C50" s="6" t="n">
        <v>280</v>
      </c>
      <c r="D50" s="6" t="n">
        <v>100</v>
      </c>
    </row>
    <row r="51" customFormat="false" ht="15" hidden="false" customHeight="false" outlineLevel="0" collapsed="false">
      <c r="A51" s="4" t="s">
        <v>55</v>
      </c>
      <c r="B51" s="6" t="n">
        <v>50</v>
      </c>
      <c r="C51" s="6" t="n">
        <v>150</v>
      </c>
      <c r="D51" s="6" t="n">
        <v>400</v>
      </c>
    </row>
    <row r="52" customFormat="false" ht="15" hidden="false" customHeight="false" outlineLevel="0" collapsed="false">
      <c r="A52" s="4" t="s">
        <v>42</v>
      </c>
      <c r="B52" s="6" t="n">
        <v>300</v>
      </c>
      <c r="C52" s="6" t="n">
        <v>600</v>
      </c>
      <c r="D52" s="6" t="n">
        <v>750</v>
      </c>
    </row>
    <row r="53" customFormat="false" ht="15" hidden="false" customHeight="false" outlineLevel="0" collapsed="false">
      <c r="A53" s="4" t="s">
        <v>56</v>
      </c>
      <c r="B53" s="6" t="n">
        <v>150</v>
      </c>
      <c r="C53" s="6" t="n">
        <v>300</v>
      </c>
      <c r="D53" s="6" t="n">
        <v>400</v>
      </c>
    </row>
    <row r="54" customFormat="false" ht="15" hidden="false" customHeight="false" outlineLevel="0" collapsed="false">
      <c r="A54" s="4" t="s">
        <v>44</v>
      </c>
      <c r="B54" s="6" t="n">
        <v>200</v>
      </c>
      <c r="C54" s="6" t="n">
        <v>350</v>
      </c>
      <c r="D54" s="6" t="n">
        <v>450</v>
      </c>
    </row>
    <row r="55" customFormat="false" ht="15" hidden="false" customHeight="false" outlineLevel="0" collapsed="false">
      <c r="A55" s="4" t="s">
        <v>45</v>
      </c>
      <c r="B55" s="6" t="n">
        <v>250</v>
      </c>
      <c r="C55" s="6" t="n">
        <v>500</v>
      </c>
      <c r="D55" s="6" t="n">
        <v>600</v>
      </c>
    </row>
    <row r="56" customFormat="false" ht="15" hidden="false" customHeight="false" outlineLevel="0" collapsed="false">
      <c r="A56" s="4" t="s">
        <v>57</v>
      </c>
      <c r="B56" s="6" t="n">
        <v>20</v>
      </c>
      <c r="C56" s="6" t="n">
        <v>50</v>
      </c>
      <c r="D56" s="6" t="n">
        <v>100</v>
      </c>
    </row>
    <row r="57" customFormat="false" ht="15" hidden="false" customHeight="false" outlineLevel="0" collapsed="false">
      <c r="A57" s="4" t="s">
        <v>58</v>
      </c>
      <c r="B57" s="6" t="n">
        <v>30</v>
      </c>
      <c r="C57" s="6" t="n">
        <v>70</v>
      </c>
      <c r="D57" s="6" t="n">
        <v>120</v>
      </c>
    </row>
    <row r="59" customFormat="false" ht="26.85" hidden="false" customHeight="false" outlineLevel="0" collapsed="false">
      <c r="A59" s="3" t="s">
        <v>59</v>
      </c>
      <c r="B59" s="3"/>
      <c r="C59" s="3"/>
      <c r="D59" s="3"/>
    </row>
    <row r="60" customFormat="false" ht="15" hidden="false" customHeight="false" outlineLevel="0" collapsed="false">
      <c r="A60" s="7" t="s">
        <v>60</v>
      </c>
      <c r="B60" s="8" t="s">
        <v>61</v>
      </c>
      <c r="C60" s="8" t="s">
        <v>62</v>
      </c>
      <c r="D60" s="8" t="s">
        <v>63</v>
      </c>
    </row>
    <row r="61" customFormat="false" ht="15" hidden="false" customHeight="false" outlineLevel="0" collapsed="false">
      <c r="A61" s="4" t="s">
        <v>64</v>
      </c>
      <c r="B61" s="13" t="n">
        <v>0.7</v>
      </c>
      <c r="C61" s="13" t="n">
        <v>0.6</v>
      </c>
      <c r="D61" s="13" t="n">
        <v>0.5</v>
      </c>
    </row>
    <row r="62" customFormat="false" ht="15" hidden="false" customHeight="false" outlineLevel="0" collapsed="false">
      <c r="A62" s="4" t="s">
        <v>65</v>
      </c>
      <c r="B62" s="13" t="n">
        <v>0.7</v>
      </c>
      <c r="C62" s="13" t="n">
        <v>0.6</v>
      </c>
      <c r="D62" s="13" t="n">
        <v>0.5</v>
      </c>
    </row>
    <row r="63" customFormat="false" ht="15" hidden="false" customHeight="false" outlineLevel="0" collapsed="false">
      <c r="A63" s="4" t="s">
        <v>66</v>
      </c>
      <c r="B63" s="13" t="n">
        <v>0.8</v>
      </c>
      <c r="C63" s="13" t="n">
        <v>0.7</v>
      </c>
      <c r="D63" s="13" t="n">
        <v>0.6</v>
      </c>
    </row>
    <row r="64" customFormat="false" ht="15" hidden="false" customHeight="false" outlineLevel="0" collapsed="false">
      <c r="A64" s="4" t="s">
        <v>67</v>
      </c>
      <c r="B64" s="13" t="n">
        <v>0.9</v>
      </c>
      <c r="C64" s="13" t="n">
        <v>0.9</v>
      </c>
      <c r="D64" s="13" t="n">
        <v>0.8</v>
      </c>
    </row>
    <row r="65" customFormat="false" ht="15" hidden="false" customHeight="false" outlineLevel="0" collapsed="false">
      <c r="A65" s="4" t="s">
        <v>68</v>
      </c>
      <c r="B65" s="13" t="n">
        <v>1</v>
      </c>
      <c r="C65" s="13" t="n">
        <v>1</v>
      </c>
      <c r="D65" s="13" t="n">
        <v>1</v>
      </c>
    </row>
    <row r="66" customFormat="false" ht="15" hidden="false" customHeight="false" outlineLevel="0" collapsed="false">
      <c r="A66" s="4" t="s">
        <v>69</v>
      </c>
      <c r="B66" s="13" t="n">
        <v>1.3</v>
      </c>
      <c r="C66" s="13" t="n">
        <v>1.3</v>
      </c>
      <c r="D66" s="13" t="n">
        <v>1.8</v>
      </c>
    </row>
    <row r="67" customFormat="false" ht="15" hidden="false" customHeight="false" outlineLevel="0" collapsed="false">
      <c r="A67" s="4" t="s">
        <v>70</v>
      </c>
      <c r="B67" s="13" t="n">
        <v>1.5</v>
      </c>
      <c r="C67" s="13" t="n">
        <v>1.5</v>
      </c>
      <c r="D67" s="13" t="n">
        <v>2</v>
      </c>
    </row>
    <row r="68" customFormat="false" ht="15" hidden="false" customHeight="false" outlineLevel="0" collapsed="false">
      <c r="A68" s="4" t="s">
        <v>71</v>
      </c>
      <c r="B68" s="13" t="n">
        <v>1.4</v>
      </c>
      <c r="C68" s="13" t="n">
        <v>1.4</v>
      </c>
      <c r="D68" s="13" t="n">
        <v>1.8</v>
      </c>
    </row>
    <row r="69" customFormat="false" ht="15" hidden="false" customHeight="false" outlineLevel="0" collapsed="false">
      <c r="A69" s="4" t="s">
        <v>72</v>
      </c>
      <c r="B69" s="13" t="n">
        <v>1.1</v>
      </c>
      <c r="C69" s="13" t="n">
        <v>1.1</v>
      </c>
      <c r="D69" s="13" t="n">
        <v>1.2</v>
      </c>
    </row>
    <row r="70" customFormat="false" ht="15" hidden="false" customHeight="false" outlineLevel="0" collapsed="false">
      <c r="A70" s="4" t="s">
        <v>73</v>
      </c>
      <c r="B70" s="13" t="n">
        <v>0.9</v>
      </c>
      <c r="C70" s="13" t="n">
        <v>0.9</v>
      </c>
      <c r="D70" s="13" t="n">
        <v>0.7</v>
      </c>
    </row>
    <row r="71" customFormat="false" ht="15" hidden="false" customHeight="false" outlineLevel="0" collapsed="false">
      <c r="A71" s="4" t="s">
        <v>74</v>
      </c>
      <c r="B71" s="13" t="n">
        <v>0.8</v>
      </c>
      <c r="C71" s="13" t="n">
        <v>0.8</v>
      </c>
      <c r="D71" s="13" t="n">
        <v>0.6</v>
      </c>
    </row>
    <row r="72" customFormat="false" ht="15" hidden="false" customHeight="false" outlineLevel="0" collapsed="false">
      <c r="A72" s="4" t="s">
        <v>75</v>
      </c>
      <c r="B72" s="13" t="n">
        <v>0.9</v>
      </c>
      <c r="C72" s="13" t="n">
        <v>1</v>
      </c>
      <c r="D72" s="13" t="n">
        <v>1</v>
      </c>
    </row>
    <row r="73" customFormat="false" ht="15" hidden="false" customHeight="false" outlineLevel="0" collapsed="false">
      <c r="A73" s="14" t="s">
        <v>76</v>
      </c>
      <c r="B73" s="15" t="n">
        <f aca="false">AVERAGE(B61:B72)</f>
        <v>1</v>
      </c>
      <c r="C73" s="15" t="n">
        <f aca="false">AVERAGE(C61:C72)</f>
        <v>0.983333333333333</v>
      </c>
      <c r="D73" s="15" t="n">
        <f aca="false">AVERAGE(D61:D72)</f>
        <v>1.04166666666667</v>
      </c>
    </row>
    <row r="75" customFormat="false" ht="15" hidden="false" customHeight="false" outlineLevel="0" collapsed="false">
      <c r="A75" s="3" t="s">
        <v>77</v>
      </c>
      <c r="B75" s="3"/>
      <c r="C75" s="3"/>
      <c r="D75" s="3"/>
    </row>
    <row r="76" customFormat="false" ht="15" hidden="false" customHeight="false" outlineLevel="0" collapsed="false">
      <c r="A76" s="7" t="s">
        <v>78</v>
      </c>
      <c r="B76" s="8" t="s">
        <v>79</v>
      </c>
      <c r="C76" s="8" t="s">
        <v>80</v>
      </c>
      <c r="D76" s="8" t="s">
        <v>81</v>
      </c>
    </row>
    <row r="77" customFormat="false" ht="15" hidden="false" customHeight="false" outlineLevel="0" collapsed="false">
      <c r="A77" s="4" t="s">
        <v>82</v>
      </c>
      <c r="B77" s="6" t="n">
        <v>1</v>
      </c>
      <c r="C77" s="11" t="n">
        <v>80000</v>
      </c>
      <c r="D77" s="16" t="n">
        <v>2</v>
      </c>
    </row>
    <row r="78" customFormat="false" ht="15" hidden="false" customHeight="false" outlineLevel="0" collapsed="false">
      <c r="A78" s="4" t="s">
        <v>83</v>
      </c>
      <c r="B78" s="6" t="n">
        <v>2</v>
      </c>
      <c r="C78" s="11" t="n">
        <v>65000</v>
      </c>
      <c r="D78" s="16" t="n">
        <v>2</v>
      </c>
    </row>
    <row r="79" customFormat="false" ht="15" hidden="false" customHeight="false" outlineLevel="0" collapsed="false">
      <c r="A79" s="4" t="s">
        <v>84</v>
      </c>
      <c r="B79" s="6" t="n">
        <v>4</v>
      </c>
      <c r="C79" s="11" t="n">
        <v>55000</v>
      </c>
      <c r="D79" s="16" t="n">
        <v>2</v>
      </c>
    </row>
    <row r="80" customFormat="false" ht="15" hidden="false" customHeight="false" outlineLevel="0" collapsed="false">
      <c r="A80" s="4" t="s">
        <v>85</v>
      </c>
      <c r="B80" s="6" t="n">
        <v>2</v>
      </c>
      <c r="C80" s="11" t="n">
        <v>60000</v>
      </c>
      <c r="D80" s="16" t="n">
        <v>2</v>
      </c>
    </row>
    <row r="81" customFormat="false" ht="15" hidden="false" customHeight="false" outlineLevel="0" collapsed="false">
      <c r="A81" s="4" t="s">
        <v>86</v>
      </c>
      <c r="B81" s="6" t="n">
        <v>1</v>
      </c>
      <c r="C81" s="11" t="n">
        <v>45000</v>
      </c>
      <c r="D81" s="16" t="n">
        <v>2</v>
      </c>
    </row>
    <row r="82" customFormat="false" ht="15" hidden="false" customHeight="false" outlineLevel="0" collapsed="false">
      <c r="A82" s="4" t="s">
        <v>87</v>
      </c>
      <c r="B82" s="6" t="n">
        <v>2</v>
      </c>
      <c r="C82" s="11" t="n">
        <v>45000</v>
      </c>
      <c r="D82" s="16" t="n">
        <v>2</v>
      </c>
    </row>
    <row r="83" customFormat="false" ht="15" hidden="false" customHeight="false" outlineLevel="0" collapsed="false">
      <c r="A83" s="4" t="s">
        <v>88</v>
      </c>
      <c r="B83" s="6" t="n">
        <v>1</v>
      </c>
      <c r="C83" s="11" t="n">
        <v>35000</v>
      </c>
      <c r="D83" s="16" t="n">
        <v>2</v>
      </c>
    </row>
    <row r="84" customFormat="false" ht="15" hidden="false" customHeight="false" outlineLevel="0" collapsed="false">
      <c r="A84" s="4" t="s">
        <v>89</v>
      </c>
      <c r="B84" s="6" t="n">
        <v>1</v>
      </c>
      <c r="C84" s="11" t="n">
        <v>30000</v>
      </c>
      <c r="D84" s="16" t="n">
        <v>1</v>
      </c>
    </row>
    <row r="86" customFormat="false" ht="26.85" hidden="false" customHeight="false" outlineLevel="0" collapsed="false">
      <c r="A86" s="3" t="s">
        <v>90</v>
      </c>
      <c r="B86" s="3"/>
      <c r="C86" s="3"/>
      <c r="D86" s="3"/>
    </row>
    <row r="87" customFormat="false" ht="15" hidden="false" customHeight="false" outlineLevel="0" collapsed="false">
      <c r="A87" s="7" t="s">
        <v>91</v>
      </c>
      <c r="B87" s="8" t="s">
        <v>92</v>
      </c>
      <c r="C87" s="8" t="s">
        <v>93</v>
      </c>
      <c r="D87" s="8" t="s">
        <v>94</v>
      </c>
    </row>
    <row r="88" customFormat="false" ht="15" hidden="false" customHeight="false" outlineLevel="0" collapsed="false">
      <c r="A88" s="4" t="s">
        <v>95</v>
      </c>
      <c r="B88" s="11" t="n">
        <v>200000</v>
      </c>
      <c r="C88" s="17" t="s">
        <v>96</v>
      </c>
      <c r="D88" s="18" t="s">
        <v>97</v>
      </c>
    </row>
    <row r="89" customFormat="false" ht="22.35" hidden="false" customHeight="false" outlineLevel="0" collapsed="false">
      <c r="A89" s="4" t="s">
        <v>98</v>
      </c>
      <c r="B89" s="11" t="n">
        <v>85000</v>
      </c>
      <c r="C89" s="17" t="s">
        <v>96</v>
      </c>
      <c r="D89" s="18" t="s">
        <v>99</v>
      </c>
    </row>
    <row r="90" customFormat="false" ht="22.35" hidden="false" customHeight="false" outlineLevel="0" collapsed="false">
      <c r="A90" s="4" t="s">
        <v>100</v>
      </c>
      <c r="B90" s="11" t="n">
        <v>120000</v>
      </c>
      <c r="C90" s="17" t="s">
        <v>96</v>
      </c>
      <c r="D90" s="18" t="s">
        <v>101</v>
      </c>
    </row>
    <row r="91" customFormat="false" ht="15" hidden="false" customHeight="false" outlineLevel="0" collapsed="false">
      <c r="A91" s="4" t="s">
        <v>102</v>
      </c>
      <c r="B91" s="11" t="n">
        <v>15000</v>
      </c>
      <c r="C91" s="17" t="s">
        <v>96</v>
      </c>
      <c r="D91" s="18"/>
    </row>
    <row r="92" customFormat="false" ht="15" hidden="false" customHeight="false" outlineLevel="0" collapsed="false">
      <c r="A92" s="4" t="s">
        <v>103</v>
      </c>
      <c r="B92" s="11" t="n">
        <v>8000</v>
      </c>
      <c r="C92" s="17" t="s">
        <v>96</v>
      </c>
      <c r="D92" s="18"/>
    </row>
    <row r="93" customFormat="false" ht="15" hidden="false" customHeight="false" outlineLevel="0" collapsed="false">
      <c r="A93" s="4" t="s">
        <v>104</v>
      </c>
      <c r="B93" s="11" t="n">
        <v>15000</v>
      </c>
      <c r="C93" s="17" t="s">
        <v>96</v>
      </c>
      <c r="D93" s="18"/>
    </row>
    <row r="94" customFormat="false" ht="15" hidden="false" customHeight="false" outlineLevel="0" collapsed="false">
      <c r="A94" s="4" t="s">
        <v>105</v>
      </c>
      <c r="B94" s="11" t="n">
        <v>12000</v>
      </c>
      <c r="C94" s="17" t="s">
        <v>96</v>
      </c>
      <c r="D94" s="18"/>
    </row>
    <row r="95" customFormat="false" ht="15" hidden="false" customHeight="false" outlineLevel="0" collapsed="false">
      <c r="A95" s="4" t="s">
        <v>106</v>
      </c>
      <c r="B95" s="11" t="n">
        <v>25000</v>
      </c>
      <c r="C95" s="17" t="s">
        <v>96</v>
      </c>
      <c r="D95" s="18" t="s">
        <v>107</v>
      </c>
    </row>
    <row r="96" customFormat="false" ht="15" hidden="false" customHeight="false" outlineLevel="0" collapsed="false">
      <c r="A96" s="4" t="s">
        <v>108</v>
      </c>
      <c r="B96" s="11" t="n">
        <v>50000</v>
      </c>
      <c r="C96" s="17" t="s">
        <v>96</v>
      </c>
      <c r="D96" s="18" t="s">
        <v>109</v>
      </c>
    </row>
    <row r="97" customFormat="false" ht="15" hidden="false" customHeight="false" outlineLevel="0" collapsed="false">
      <c r="A97" s="4" t="s">
        <v>110</v>
      </c>
      <c r="B97" s="11" t="n">
        <v>180000</v>
      </c>
      <c r="C97" s="17" t="s">
        <v>111</v>
      </c>
      <c r="D97" s="18" t="s">
        <v>112</v>
      </c>
    </row>
    <row r="98" customFormat="false" ht="15" hidden="false" customHeight="false" outlineLevel="0" collapsed="false">
      <c r="A98" s="4" t="s">
        <v>113</v>
      </c>
      <c r="B98" s="11" t="n">
        <v>90000</v>
      </c>
      <c r="C98" s="17" t="s">
        <v>111</v>
      </c>
      <c r="D98" s="18"/>
    </row>
    <row r="99" customFormat="false" ht="22.35" hidden="false" customHeight="false" outlineLevel="0" collapsed="false">
      <c r="A99" s="4" t="s">
        <v>114</v>
      </c>
      <c r="B99" s="11" t="n">
        <v>120000</v>
      </c>
      <c r="C99" s="17" t="s">
        <v>111</v>
      </c>
      <c r="D99" s="18" t="s">
        <v>115</v>
      </c>
    </row>
    <row r="100" customFormat="false" ht="15" hidden="false" customHeight="false" outlineLevel="0" collapsed="false">
      <c r="A100" s="4" t="s">
        <v>116</v>
      </c>
      <c r="B100" s="11" t="n">
        <v>35000</v>
      </c>
      <c r="C100" s="17" t="s">
        <v>111</v>
      </c>
      <c r="D100" s="18"/>
    </row>
    <row r="101" customFormat="false" ht="22.35" hidden="false" customHeight="false" outlineLevel="0" collapsed="false">
      <c r="A101" s="4" t="s">
        <v>117</v>
      </c>
      <c r="B101" s="11" t="n">
        <v>40000</v>
      </c>
      <c r="C101" s="17" t="s">
        <v>111</v>
      </c>
      <c r="D101" s="18" t="s">
        <v>118</v>
      </c>
    </row>
    <row r="102" customFormat="false" ht="15" hidden="false" customHeight="false" outlineLevel="0" collapsed="false">
      <c r="A102" s="4" t="s">
        <v>119</v>
      </c>
      <c r="B102" s="11" t="n">
        <v>15000</v>
      </c>
      <c r="C102" s="17" t="s">
        <v>96</v>
      </c>
      <c r="D102" s="18"/>
    </row>
    <row r="103" customFormat="false" ht="22.35" hidden="false" customHeight="false" outlineLevel="0" collapsed="false">
      <c r="A103" s="4" t="s">
        <v>120</v>
      </c>
      <c r="B103" s="11" t="n">
        <v>45000</v>
      </c>
      <c r="C103" s="17" t="s">
        <v>96</v>
      </c>
      <c r="D103" s="18" t="s">
        <v>121</v>
      </c>
    </row>
    <row r="104" customFormat="false" ht="15" hidden="false" customHeight="false" outlineLevel="0" collapsed="false">
      <c r="A104" s="4" t="s">
        <v>122</v>
      </c>
      <c r="B104" s="11" t="n">
        <v>20000</v>
      </c>
      <c r="C104" s="17" t="s">
        <v>111</v>
      </c>
      <c r="D104" s="18" t="s">
        <v>123</v>
      </c>
    </row>
    <row r="105" customFormat="false" ht="15" hidden="false" customHeight="false" outlineLevel="0" collapsed="false">
      <c r="A105" s="4" t="s">
        <v>124</v>
      </c>
      <c r="B105" s="11" t="n">
        <v>25000</v>
      </c>
      <c r="C105" s="17" t="s">
        <v>111</v>
      </c>
      <c r="D105" s="18" t="s">
        <v>125</v>
      </c>
    </row>
    <row r="106" customFormat="false" ht="15" hidden="false" customHeight="false" outlineLevel="0" collapsed="false">
      <c r="A106" s="4" t="s">
        <v>126</v>
      </c>
      <c r="B106" s="11" t="n">
        <v>20000</v>
      </c>
      <c r="C106" s="17" t="s">
        <v>96</v>
      </c>
      <c r="D106" s="18" t="s">
        <v>127</v>
      </c>
    </row>
    <row r="107" customFormat="false" ht="15" hidden="false" customHeight="false" outlineLevel="0" collapsed="false">
      <c r="A107" s="4" t="s">
        <v>128</v>
      </c>
      <c r="B107" s="11" t="n">
        <v>30000</v>
      </c>
      <c r="C107" s="17" t="s">
        <v>96</v>
      </c>
      <c r="D107" s="18" t="s">
        <v>129</v>
      </c>
    </row>
    <row r="108" customFormat="false" ht="22.35" hidden="false" customHeight="false" outlineLevel="0" collapsed="false">
      <c r="A108" s="4" t="s">
        <v>130</v>
      </c>
      <c r="B108" s="11" t="n">
        <v>60000</v>
      </c>
      <c r="C108" s="17" t="s">
        <v>96</v>
      </c>
      <c r="D108" s="18" t="s">
        <v>131</v>
      </c>
    </row>
    <row r="109" customFormat="false" ht="15" hidden="false" customHeight="false" outlineLevel="0" collapsed="false">
      <c r="A109" s="19" t="s">
        <v>132</v>
      </c>
      <c r="B109" s="20" t="n">
        <f aca="false">SUM(B88:B108)</f>
        <v>1210000</v>
      </c>
    </row>
    <row r="110" customFormat="false" ht="15" hidden="false" customHeight="false" outlineLevel="0" collapsed="false">
      <c r="A110" s="21" t="s">
        <v>133</v>
      </c>
      <c r="B110" s="22" t="n">
        <f aca="false">SUMIF(C88:C108,"Постоянные",B88:B108)</f>
        <v>700000</v>
      </c>
    </row>
    <row r="111" customFormat="false" ht="15" hidden="false" customHeight="false" outlineLevel="0" collapsed="false">
      <c r="A111" s="21" t="s">
        <v>134</v>
      </c>
      <c r="B111" s="22" t="n">
        <f aca="false">SUMIF(C88:C108,"Переменные",B88:B108)</f>
        <v>510000</v>
      </c>
    </row>
    <row r="112" customFormat="false" ht="15" hidden="false" customHeight="false" outlineLevel="0" collapsed="false">
      <c r="A112" s="19" t="s">
        <v>135</v>
      </c>
      <c r="B112" s="20" t="n">
        <f aca="false">B109*12</f>
        <v>14520000</v>
      </c>
    </row>
    <row r="114" customFormat="false" ht="15" hidden="false" customHeight="false" outlineLevel="0" collapsed="false">
      <c r="A114" s="3" t="s">
        <v>136</v>
      </c>
      <c r="B114" s="3"/>
      <c r="C114" s="3"/>
      <c r="D114" s="3"/>
    </row>
    <row r="115" customFormat="false" ht="15" hidden="false" customHeight="false" outlineLevel="0" collapsed="false">
      <c r="A115" s="7" t="s">
        <v>91</v>
      </c>
      <c r="B115" s="8" t="s">
        <v>137</v>
      </c>
      <c r="C115" s="8" t="s">
        <v>138</v>
      </c>
      <c r="D115" s="8" t="s">
        <v>139</v>
      </c>
    </row>
    <row r="116" customFormat="false" ht="15" hidden="false" customHeight="false" outlineLevel="0" collapsed="false">
      <c r="A116" s="23" t="s">
        <v>140</v>
      </c>
      <c r="B116" s="24"/>
      <c r="C116" s="24"/>
      <c r="D116" s="24"/>
    </row>
    <row r="117" customFormat="false" ht="15" hidden="false" customHeight="false" outlineLevel="0" collapsed="false">
      <c r="A117" s="4" t="s">
        <v>141</v>
      </c>
      <c r="B117" s="11" t="n">
        <v>300000</v>
      </c>
      <c r="C117" s="17" t="s">
        <v>142</v>
      </c>
      <c r="D117" s="17" t="s">
        <v>143</v>
      </c>
    </row>
    <row r="118" customFormat="false" ht="15" hidden="false" customHeight="false" outlineLevel="0" collapsed="false">
      <c r="A118" s="4" t="s">
        <v>144</v>
      </c>
      <c r="B118" s="11" t="n">
        <v>200000</v>
      </c>
      <c r="C118" s="17" t="s">
        <v>142</v>
      </c>
      <c r="D118" s="17" t="s">
        <v>143</v>
      </c>
    </row>
    <row r="120" customFormat="false" ht="15" hidden="false" customHeight="false" outlineLevel="0" collapsed="false">
      <c r="A120" s="23" t="s">
        <v>145</v>
      </c>
      <c r="B120" s="24"/>
      <c r="C120" s="24"/>
      <c r="D120" s="24"/>
    </row>
    <row r="121" customFormat="false" ht="15" hidden="false" customHeight="false" outlineLevel="0" collapsed="false">
      <c r="A121" s="4" t="s">
        <v>146</v>
      </c>
      <c r="B121" s="11" t="n">
        <v>800000</v>
      </c>
      <c r="C121" s="6" t="n">
        <v>30</v>
      </c>
      <c r="D121" s="17" t="s">
        <v>147</v>
      </c>
    </row>
    <row r="122" customFormat="false" ht="15" hidden="false" customHeight="false" outlineLevel="0" collapsed="false">
      <c r="A122" s="4" t="s">
        <v>148</v>
      </c>
      <c r="B122" s="11" t="n">
        <v>1200000</v>
      </c>
      <c r="C122" s="6" t="n">
        <v>30</v>
      </c>
      <c r="D122" s="17" t="s">
        <v>149</v>
      </c>
    </row>
    <row r="123" customFormat="false" ht="15" hidden="false" customHeight="false" outlineLevel="0" collapsed="false">
      <c r="A123" s="4" t="s">
        <v>150</v>
      </c>
      <c r="B123" s="11" t="n">
        <v>1500000</v>
      </c>
      <c r="C123" s="6" t="n">
        <v>30</v>
      </c>
      <c r="D123" s="17" t="s">
        <v>149</v>
      </c>
    </row>
    <row r="124" customFormat="false" ht="15" hidden="false" customHeight="false" outlineLevel="0" collapsed="false">
      <c r="A124" s="4" t="s">
        <v>151</v>
      </c>
      <c r="B124" s="11" t="n">
        <v>600000</v>
      </c>
      <c r="C124" s="6" t="n">
        <v>20</v>
      </c>
      <c r="D124" s="17" t="s">
        <v>149</v>
      </c>
    </row>
    <row r="125" customFormat="false" ht="15" hidden="false" customHeight="false" outlineLevel="0" collapsed="false">
      <c r="A125" s="4" t="s">
        <v>152</v>
      </c>
      <c r="B125" s="11" t="n">
        <v>500000</v>
      </c>
      <c r="C125" s="6" t="n">
        <v>20</v>
      </c>
      <c r="D125" s="17" t="s">
        <v>149</v>
      </c>
    </row>
    <row r="126" customFormat="false" ht="15" hidden="false" customHeight="false" outlineLevel="0" collapsed="false">
      <c r="A126" s="4" t="s">
        <v>153</v>
      </c>
      <c r="B126" s="11" t="n">
        <v>400000</v>
      </c>
      <c r="C126" s="6" t="n">
        <v>15</v>
      </c>
      <c r="D126" s="17" t="s">
        <v>154</v>
      </c>
    </row>
    <row r="127" customFormat="false" ht="15" hidden="false" customHeight="false" outlineLevel="0" collapsed="false">
      <c r="A127" s="4" t="s">
        <v>155</v>
      </c>
      <c r="B127" s="11" t="n">
        <v>350000</v>
      </c>
      <c r="C127" s="6" t="n">
        <v>15</v>
      </c>
      <c r="D127" s="17" t="s">
        <v>154</v>
      </c>
    </row>
    <row r="128" customFormat="false" ht="15" hidden="false" customHeight="false" outlineLevel="0" collapsed="false">
      <c r="A128" s="4" t="s">
        <v>156</v>
      </c>
      <c r="B128" s="11" t="n">
        <v>450000</v>
      </c>
      <c r="C128" s="6" t="n">
        <v>15</v>
      </c>
      <c r="D128" s="17" t="s">
        <v>154</v>
      </c>
    </row>
    <row r="129" customFormat="false" ht="15" hidden="false" customHeight="false" outlineLevel="0" collapsed="false">
      <c r="A129" s="4" t="s">
        <v>157</v>
      </c>
      <c r="B129" s="11" t="n">
        <v>497000</v>
      </c>
      <c r="C129" s="6" t="n">
        <v>10</v>
      </c>
      <c r="D129" s="17" t="s">
        <v>154</v>
      </c>
    </row>
    <row r="130" customFormat="false" ht="15" hidden="false" customHeight="false" outlineLevel="0" collapsed="false">
      <c r="A130" s="4" t="s">
        <v>158</v>
      </c>
      <c r="B130" s="11" t="n">
        <v>600000</v>
      </c>
      <c r="C130" s="6" t="n">
        <v>10</v>
      </c>
      <c r="D130" s="17" t="s">
        <v>159</v>
      </c>
    </row>
    <row r="131" customFormat="false" ht="15" hidden="false" customHeight="false" outlineLevel="0" collapsed="false">
      <c r="A131" s="4" t="s">
        <v>160</v>
      </c>
      <c r="B131" s="11" t="n">
        <v>250000</v>
      </c>
      <c r="C131" s="6" t="n">
        <v>10</v>
      </c>
      <c r="D131" s="17" t="s">
        <v>159</v>
      </c>
    </row>
    <row r="133" customFormat="false" ht="15" hidden="false" customHeight="false" outlineLevel="0" collapsed="false">
      <c r="A133" s="23" t="s">
        <v>161</v>
      </c>
      <c r="B133" s="24"/>
      <c r="C133" s="24"/>
      <c r="D133" s="24"/>
    </row>
    <row r="134" customFormat="false" ht="15" hidden="false" customHeight="false" outlineLevel="0" collapsed="false">
      <c r="A134" s="4" t="s">
        <v>162</v>
      </c>
      <c r="B134" s="11" t="n">
        <v>600000</v>
      </c>
      <c r="C134" s="6" t="n">
        <v>15</v>
      </c>
      <c r="D134" s="17" t="s">
        <v>159</v>
      </c>
    </row>
    <row r="135" customFormat="false" ht="15" hidden="false" customHeight="false" outlineLevel="0" collapsed="false">
      <c r="A135" s="4" t="s">
        <v>163</v>
      </c>
      <c r="B135" s="11" t="n">
        <v>400000</v>
      </c>
      <c r="C135" s="6" t="n">
        <v>7</v>
      </c>
      <c r="D135" s="17" t="s">
        <v>159</v>
      </c>
    </row>
    <row r="136" customFormat="false" ht="15" hidden="false" customHeight="false" outlineLevel="0" collapsed="false">
      <c r="A136" s="4" t="s">
        <v>164</v>
      </c>
      <c r="B136" s="11" t="n">
        <v>200000</v>
      </c>
      <c r="C136" s="6" t="n">
        <v>5</v>
      </c>
      <c r="D136" s="17" t="s">
        <v>159</v>
      </c>
    </row>
    <row r="137" customFormat="false" ht="15" hidden="false" customHeight="false" outlineLevel="0" collapsed="false">
      <c r="A137" s="4" t="s">
        <v>165</v>
      </c>
      <c r="B137" s="11" t="n">
        <v>120000</v>
      </c>
      <c r="C137" s="6" t="n">
        <v>10</v>
      </c>
      <c r="D137" s="17" t="s">
        <v>159</v>
      </c>
    </row>
    <row r="138" customFormat="false" ht="15" hidden="false" customHeight="false" outlineLevel="0" collapsed="false">
      <c r="A138" s="4" t="s">
        <v>166</v>
      </c>
      <c r="B138" s="11" t="n">
        <v>80000</v>
      </c>
      <c r="C138" s="6" t="n">
        <v>7</v>
      </c>
      <c r="D138" s="17" t="s">
        <v>159</v>
      </c>
    </row>
    <row r="140" customFormat="false" ht="15" hidden="false" customHeight="false" outlineLevel="0" collapsed="false">
      <c r="A140" s="23" t="s">
        <v>167</v>
      </c>
      <c r="B140" s="24"/>
      <c r="C140" s="24"/>
      <c r="D140" s="24"/>
    </row>
    <row r="141" customFormat="false" ht="15" hidden="false" customHeight="false" outlineLevel="0" collapsed="false">
      <c r="A141" s="4" t="s">
        <v>168</v>
      </c>
      <c r="B141" s="11" t="n">
        <v>850000</v>
      </c>
      <c r="C141" s="6" t="n">
        <v>7</v>
      </c>
      <c r="D141" s="17" t="s">
        <v>169</v>
      </c>
    </row>
    <row r="142" customFormat="false" ht="15" hidden="false" customHeight="false" outlineLevel="0" collapsed="false">
      <c r="A142" s="4" t="s">
        <v>170</v>
      </c>
      <c r="B142" s="11" t="n">
        <v>350000</v>
      </c>
      <c r="C142" s="6" t="n">
        <v>5</v>
      </c>
      <c r="D142" s="17" t="s">
        <v>169</v>
      </c>
    </row>
    <row r="143" customFormat="false" ht="15" hidden="false" customHeight="false" outlineLevel="0" collapsed="false">
      <c r="A143" s="4" t="s">
        <v>171</v>
      </c>
      <c r="B143" s="11" t="n">
        <v>120000</v>
      </c>
      <c r="C143" s="6" t="n">
        <v>5</v>
      </c>
      <c r="D143" s="17" t="s">
        <v>169</v>
      </c>
    </row>
    <row r="144" customFormat="false" ht="15" hidden="false" customHeight="false" outlineLevel="0" collapsed="false">
      <c r="A144" s="4" t="s">
        <v>172</v>
      </c>
      <c r="B144" s="11" t="n">
        <v>80000</v>
      </c>
      <c r="C144" s="6" t="n">
        <v>7</v>
      </c>
      <c r="D144" s="17" t="s">
        <v>169</v>
      </c>
    </row>
    <row r="145" customFormat="false" ht="15" hidden="false" customHeight="false" outlineLevel="0" collapsed="false">
      <c r="A145" s="4" t="s">
        <v>173</v>
      </c>
      <c r="B145" s="11" t="n">
        <v>150000</v>
      </c>
      <c r="C145" s="6" t="n">
        <v>5</v>
      </c>
      <c r="D145" s="17" t="s">
        <v>169</v>
      </c>
    </row>
    <row r="146" customFormat="false" ht="15" hidden="false" customHeight="false" outlineLevel="0" collapsed="false">
      <c r="A146" s="4" t="s">
        <v>174</v>
      </c>
      <c r="B146" s="11" t="n">
        <v>100000</v>
      </c>
      <c r="C146" s="6" t="n">
        <v>7</v>
      </c>
      <c r="D146" s="17" t="s">
        <v>169</v>
      </c>
    </row>
    <row r="147" customFormat="false" ht="15" hidden="false" customHeight="false" outlineLevel="0" collapsed="false">
      <c r="A147" s="4" t="s">
        <v>175</v>
      </c>
      <c r="B147" s="11" t="n">
        <v>250000</v>
      </c>
      <c r="C147" s="6" t="n">
        <v>7</v>
      </c>
      <c r="D147" s="17" t="s">
        <v>169</v>
      </c>
    </row>
    <row r="148" customFormat="false" ht="15" hidden="false" customHeight="false" outlineLevel="0" collapsed="false">
      <c r="A148" s="4" t="s">
        <v>176</v>
      </c>
      <c r="B148" s="11" t="n">
        <v>120000</v>
      </c>
      <c r="C148" s="6" t="n">
        <v>7</v>
      </c>
      <c r="D148" s="17" t="s">
        <v>169</v>
      </c>
    </row>
    <row r="149" customFormat="false" ht="15" hidden="false" customHeight="false" outlineLevel="0" collapsed="false">
      <c r="A149" s="4" t="s">
        <v>177</v>
      </c>
      <c r="B149" s="11" t="n">
        <v>125000</v>
      </c>
      <c r="C149" s="6" t="n">
        <v>7</v>
      </c>
      <c r="D149" s="17" t="s">
        <v>169</v>
      </c>
    </row>
    <row r="150" customFormat="false" ht="15" hidden="false" customHeight="false" outlineLevel="0" collapsed="false">
      <c r="A150" s="4" t="s">
        <v>178</v>
      </c>
      <c r="B150" s="11" t="n">
        <v>85000</v>
      </c>
      <c r="C150" s="6" t="n">
        <v>7</v>
      </c>
      <c r="D150" s="17" t="s">
        <v>169</v>
      </c>
    </row>
    <row r="151" customFormat="false" ht="15" hidden="false" customHeight="false" outlineLevel="0" collapsed="false">
      <c r="A151" s="4" t="s">
        <v>179</v>
      </c>
      <c r="B151" s="11" t="n">
        <v>65000</v>
      </c>
      <c r="C151" s="6" t="n">
        <v>7</v>
      </c>
      <c r="D151" s="17" t="s">
        <v>169</v>
      </c>
    </row>
    <row r="152" customFormat="false" ht="15" hidden="false" customHeight="false" outlineLevel="0" collapsed="false">
      <c r="A152" s="4" t="s">
        <v>180</v>
      </c>
      <c r="B152" s="11" t="n">
        <v>65000</v>
      </c>
      <c r="C152" s="6" t="n">
        <v>7</v>
      </c>
      <c r="D152" s="17" t="s">
        <v>169</v>
      </c>
    </row>
    <row r="153" customFormat="false" ht="15" hidden="false" customHeight="false" outlineLevel="0" collapsed="false">
      <c r="A153" s="4" t="s">
        <v>181</v>
      </c>
      <c r="B153" s="11" t="n">
        <v>120000</v>
      </c>
      <c r="C153" s="6" t="n">
        <v>7</v>
      </c>
      <c r="D153" s="17" t="s">
        <v>169</v>
      </c>
    </row>
    <row r="154" customFormat="false" ht="15" hidden="false" customHeight="false" outlineLevel="0" collapsed="false">
      <c r="A154" s="4" t="s">
        <v>182</v>
      </c>
      <c r="B154" s="11" t="n">
        <v>35000</v>
      </c>
      <c r="C154" s="6" t="n">
        <v>10</v>
      </c>
      <c r="D154" s="17" t="s">
        <v>169</v>
      </c>
    </row>
    <row r="155" customFormat="false" ht="15" hidden="false" customHeight="false" outlineLevel="0" collapsed="false">
      <c r="A155" s="4" t="s">
        <v>183</v>
      </c>
      <c r="B155" s="11" t="n">
        <v>36000</v>
      </c>
      <c r="C155" s="6" t="n">
        <v>5</v>
      </c>
      <c r="D155" s="17" t="s">
        <v>169</v>
      </c>
    </row>
    <row r="157" customFormat="false" ht="15" hidden="false" customHeight="false" outlineLevel="0" collapsed="false">
      <c r="A157" s="23" t="s">
        <v>184</v>
      </c>
      <c r="B157" s="24"/>
      <c r="C157" s="24"/>
      <c r="D157" s="24"/>
    </row>
    <row r="158" customFormat="false" ht="15" hidden="false" customHeight="false" outlineLevel="0" collapsed="false">
      <c r="A158" s="4" t="s">
        <v>185</v>
      </c>
      <c r="B158" s="11" t="n">
        <v>250000</v>
      </c>
      <c r="C158" s="6" t="n">
        <v>10</v>
      </c>
      <c r="D158" s="17" t="s">
        <v>159</v>
      </c>
    </row>
    <row r="159" customFormat="false" ht="15" hidden="false" customHeight="false" outlineLevel="0" collapsed="false">
      <c r="A159" s="4" t="s">
        <v>186</v>
      </c>
      <c r="B159" s="11" t="n">
        <v>300000</v>
      </c>
      <c r="C159" s="6" t="n">
        <v>7</v>
      </c>
      <c r="D159" s="17" t="s">
        <v>159</v>
      </c>
    </row>
    <row r="160" customFormat="false" ht="15" hidden="false" customHeight="false" outlineLevel="0" collapsed="false">
      <c r="A160" s="4" t="s">
        <v>187</v>
      </c>
      <c r="B160" s="11" t="n">
        <v>150000</v>
      </c>
      <c r="C160" s="6" t="n">
        <v>7</v>
      </c>
      <c r="D160" s="17" t="s">
        <v>159</v>
      </c>
    </row>
    <row r="161" customFormat="false" ht="15" hidden="false" customHeight="false" outlineLevel="0" collapsed="false">
      <c r="A161" s="4" t="s">
        <v>188</v>
      </c>
      <c r="B161" s="11" t="n">
        <v>100000</v>
      </c>
      <c r="C161" s="6" t="n">
        <v>5</v>
      </c>
      <c r="D161" s="17" t="s">
        <v>159</v>
      </c>
    </row>
    <row r="163" customFormat="false" ht="15" hidden="false" customHeight="false" outlineLevel="0" collapsed="false">
      <c r="A163" s="23" t="s">
        <v>189</v>
      </c>
      <c r="B163" s="24"/>
      <c r="C163" s="24"/>
      <c r="D163" s="24"/>
    </row>
    <row r="164" customFormat="false" ht="15" hidden="false" customHeight="false" outlineLevel="0" collapsed="false">
      <c r="A164" s="4" t="s">
        <v>190</v>
      </c>
      <c r="B164" s="11" t="n">
        <v>45000</v>
      </c>
      <c r="C164" s="6" t="n">
        <v>5</v>
      </c>
      <c r="D164" s="17" t="s">
        <v>169</v>
      </c>
    </row>
    <row r="165" customFormat="false" ht="15" hidden="false" customHeight="false" outlineLevel="0" collapsed="false">
      <c r="A165" s="4" t="s">
        <v>191</v>
      </c>
      <c r="B165" s="11" t="n">
        <v>15000</v>
      </c>
      <c r="C165" s="6" t="n">
        <v>3</v>
      </c>
      <c r="D165" s="17" t="s">
        <v>169</v>
      </c>
    </row>
    <row r="166" customFormat="false" ht="15" hidden="false" customHeight="false" outlineLevel="0" collapsed="false">
      <c r="A166" s="4" t="s">
        <v>192</v>
      </c>
      <c r="B166" s="11" t="n">
        <v>8000</v>
      </c>
      <c r="C166" s="6" t="n">
        <v>3</v>
      </c>
      <c r="D166" s="17" t="s">
        <v>169</v>
      </c>
    </row>
    <row r="167" customFormat="false" ht="15" hidden="false" customHeight="false" outlineLevel="0" collapsed="false">
      <c r="A167" s="4" t="s">
        <v>193</v>
      </c>
      <c r="B167" s="11" t="n">
        <v>20000</v>
      </c>
      <c r="C167" s="6" t="n">
        <v>5</v>
      </c>
      <c r="D167" s="17" t="s">
        <v>169</v>
      </c>
    </row>
    <row r="168" customFormat="false" ht="15" hidden="false" customHeight="false" outlineLevel="0" collapsed="false">
      <c r="A168" s="4" t="s">
        <v>194</v>
      </c>
      <c r="B168" s="11" t="n">
        <v>60000</v>
      </c>
      <c r="C168" s="6" t="n">
        <v>5</v>
      </c>
      <c r="D168" s="17" t="s">
        <v>169</v>
      </c>
    </row>
    <row r="170" customFormat="false" ht="15" hidden="false" customHeight="false" outlineLevel="0" collapsed="false">
      <c r="A170" s="23" t="s">
        <v>195</v>
      </c>
      <c r="B170" s="24"/>
      <c r="C170" s="24"/>
      <c r="D170" s="24"/>
    </row>
    <row r="171" customFormat="false" ht="15" hidden="false" customHeight="false" outlineLevel="0" collapsed="false">
      <c r="A171" s="4" t="s">
        <v>196</v>
      </c>
      <c r="B171" s="11" t="n">
        <v>1000000</v>
      </c>
      <c r="C171" s="17" t="s">
        <v>142</v>
      </c>
      <c r="D171" s="17" t="s">
        <v>197</v>
      </c>
    </row>
    <row r="172" customFormat="false" ht="15" hidden="false" customHeight="false" outlineLevel="0" collapsed="false">
      <c r="A172" s="4" t="s">
        <v>198</v>
      </c>
      <c r="B172" s="11" t="n">
        <v>800000</v>
      </c>
      <c r="C172" s="17" t="s">
        <v>142</v>
      </c>
      <c r="D172" s="17" t="s">
        <v>154</v>
      </c>
    </row>
    <row r="173" customFormat="false" ht="15" hidden="false" customHeight="false" outlineLevel="0" collapsed="false">
      <c r="A173" s="4" t="s">
        <v>199</v>
      </c>
      <c r="B173" s="11" t="n">
        <v>1000000</v>
      </c>
      <c r="C173" s="17" t="s">
        <v>142</v>
      </c>
      <c r="D173" s="17" t="s">
        <v>197</v>
      </c>
    </row>
    <row r="174" customFormat="false" ht="15" hidden="false" customHeight="false" outlineLevel="0" collapsed="false">
      <c r="A174" s="4" t="s">
        <v>200</v>
      </c>
      <c r="B174" s="11" t="n">
        <v>600000</v>
      </c>
      <c r="C174" s="17" t="s">
        <v>142</v>
      </c>
      <c r="D174" s="17" t="s">
        <v>201</v>
      </c>
    </row>
    <row r="175" customFormat="false" ht="15" hidden="false" customHeight="false" outlineLevel="0" collapsed="false">
      <c r="A175" s="4" t="s">
        <v>202</v>
      </c>
      <c r="B175" s="11" t="n">
        <v>200000</v>
      </c>
      <c r="C175" s="17" t="s">
        <v>142</v>
      </c>
      <c r="D175" s="17" t="s">
        <v>201</v>
      </c>
    </row>
    <row r="176" customFormat="false" ht="15" hidden="false" customHeight="false" outlineLevel="0" collapsed="false">
      <c r="A176" s="4" t="s">
        <v>203</v>
      </c>
      <c r="B176" s="11" t="n">
        <v>150000</v>
      </c>
      <c r="C176" s="17" t="s">
        <v>142</v>
      </c>
      <c r="D176" s="17" t="s">
        <v>201</v>
      </c>
    </row>
    <row r="178" customFormat="false" ht="15" hidden="false" customHeight="false" outlineLevel="0" collapsed="false">
      <c r="A178" s="19" t="s">
        <v>204</v>
      </c>
      <c r="B178" s="20" t="n">
        <f aca="false">B117+B118+B121+B122+B123+B124+B125+B126+B127+B128+B129+B130+B131+B134+B135+B136+B137+B138+B141+B142+B143+B144+B145+B146+B147+B148+B149+B150+B151+B152+B153+B154+B155+B158+B159+B160+B161+B164+B165+B166+B167+B168+B171+B172+B173+B174+B175+B176</f>
        <v>16296000</v>
      </c>
      <c r="C178" s="25"/>
      <c r="D178" s="25"/>
    </row>
    <row r="180" customFormat="false" ht="15" hidden="false" customHeight="false" outlineLevel="0" collapsed="false">
      <c r="A180" s="3" t="s">
        <v>205</v>
      </c>
      <c r="B180" s="3"/>
      <c r="C180" s="3"/>
      <c r="D180" s="3"/>
    </row>
    <row r="181" customFormat="false" ht="23.85" hidden="false" customHeight="false" outlineLevel="0" collapsed="false">
      <c r="A181" s="4" t="s">
        <v>206</v>
      </c>
      <c r="B181" s="5" t="s">
        <v>207</v>
      </c>
    </row>
    <row r="182" customFormat="false" ht="15" hidden="false" customHeight="false" outlineLevel="0" collapsed="false">
      <c r="A182" s="4" t="s">
        <v>208</v>
      </c>
      <c r="B182" s="10" t="n">
        <v>0.05</v>
      </c>
    </row>
    <row r="183" customFormat="false" ht="15" hidden="false" customHeight="false" outlineLevel="0" collapsed="false">
      <c r="A183" s="4" t="s">
        <v>209</v>
      </c>
      <c r="B183" s="10" t="n">
        <v>0.1</v>
      </c>
    </row>
    <row r="184" customFormat="false" ht="15" hidden="false" customHeight="false" outlineLevel="0" collapsed="false">
      <c r="A184" s="4" t="s">
        <v>210</v>
      </c>
      <c r="B184" s="10" t="n">
        <v>0.076</v>
      </c>
    </row>
    <row r="185" customFormat="false" ht="15" hidden="false" customHeight="false" outlineLevel="0" collapsed="false">
      <c r="A185" s="4" t="s">
        <v>211</v>
      </c>
      <c r="B185" s="10" t="n">
        <v>0.302</v>
      </c>
    </row>
    <row r="186" customFormat="false" ht="15" hidden="false" customHeight="false" outlineLevel="0" collapsed="false">
      <c r="A186" s="4" t="s">
        <v>212</v>
      </c>
      <c r="B186" s="10" t="n">
        <v>0</v>
      </c>
    </row>
    <row r="187" customFormat="false" ht="15" hidden="false" customHeight="false" outlineLevel="0" collapsed="false">
      <c r="A187" s="4" t="s">
        <v>213</v>
      </c>
      <c r="B187" s="10" t="n">
        <v>0</v>
      </c>
    </row>
    <row r="188" customFormat="false" ht="15" hidden="false" customHeight="false" outlineLevel="0" collapsed="false">
      <c r="A188" s="4" t="s">
        <v>214</v>
      </c>
      <c r="B188" s="10" t="n">
        <v>0.011</v>
      </c>
    </row>
    <row r="190" customFormat="false" ht="15" hidden="false" customHeight="false" outlineLevel="0" collapsed="false">
      <c r="A190" s="3" t="s">
        <v>215</v>
      </c>
      <c r="B190" s="3"/>
      <c r="C190" s="3"/>
      <c r="D190" s="3"/>
    </row>
    <row r="191" customFormat="false" ht="15" hidden="false" customHeight="false" outlineLevel="0" collapsed="false">
      <c r="A191" s="4" t="s">
        <v>216</v>
      </c>
      <c r="B191" s="11" t="n">
        <v>10000000</v>
      </c>
    </row>
    <row r="192" customFormat="false" ht="15" hidden="false" customHeight="false" outlineLevel="0" collapsed="false">
      <c r="A192" s="4" t="s">
        <v>217</v>
      </c>
      <c r="B192" s="11" t="n">
        <v>5100000</v>
      </c>
    </row>
    <row r="193" customFormat="false" ht="15" hidden="false" customHeight="false" outlineLevel="0" collapsed="false">
      <c r="A193" s="4" t="s">
        <v>218</v>
      </c>
      <c r="B193" s="10" t="n">
        <v>0.18</v>
      </c>
    </row>
    <row r="194" customFormat="false" ht="15" hidden="false" customHeight="false" outlineLevel="0" collapsed="false">
      <c r="A194" s="4" t="s">
        <v>219</v>
      </c>
      <c r="B194" s="6" t="n">
        <v>5</v>
      </c>
    </row>
    <row r="195" customFormat="false" ht="15" hidden="false" customHeight="false" outlineLevel="0" collapsed="false">
      <c r="A195" s="4" t="s">
        <v>220</v>
      </c>
      <c r="B195" s="6" t="n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10" min="2" style="0" width="18"/>
  </cols>
  <sheetData>
    <row r="1" customFormat="false" ht="32.8" hidden="false" customHeight="false" outlineLevel="0" collapsed="false">
      <c r="A1" s="1" t="s">
        <v>221</v>
      </c>
    </row>
    <row r="3" customFormat="false" ht="15" hidden="false" customHeight="false" outlineLevel="0" collapsed="false">
      <c r="A3" s="26" t="s">
        <v>91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28" t="s">
        <v>222</v>
      </c>
      <c r="C4" s="29" t="n">
        <f aca="false">Выручка!C124</f>
        <v>1580132.4</v>
      </c>
      <c r="D4" s="29" t="n">
        <f aca="false">Выручка!D124</f>
        <v>16046628.327072</v>
      </c>
      <c r="E4" s="29" t="n">
        <f aca="false">Выручка!E124</f>
        <v>21237170.127264</v>
      </c>
      <c r="F4" s="29" t="n">
        <f aca="false">Выручка!F124</f>
        <v>22086656.9323546</v>
      </c>
      <c r="G4" s="29" t="n">
        <f aca="false">Выручка!G124</f>
        <v>22970123.2096487</v>
      </c>
      <c r="H4" s="29" t="n">
        <f aca="false">Выручка!H124</f>
        <v>23888928.1380347</v>
      </c>
      <c r="I4" s="29" t="n">
        <f aca="false">Выручка!I124</f>
        <v>24844485.2635561</v>
      </c>
      <c r="J4" s="29" t="n">
        <f aca="false">Выручка!J124</f>
        <v>25838264.6740983</v>
      </c>
    </row>
    <row r="5" customFormat="false" ht="15" hidden="false" customHeight="false" outlineLevel="0" collapsed="false">
      <c r="A5" s="30" t="s">
        <v>223</v>
      </c>
      <c r="C5" s="31" t="n">
        <f aca="false">Выручка!C125</f>
        <v>408539.4</v>
      </c>
      <c r="D5" s="31" t="n">
        <f aca="false">Выручка!D125</f>
        <v>4158372.28716</v>
      </c>
      <c r="E5" s="31" t="n">
        <f aca="false">Выручка!E125</f>
        <v>5507245.362528</v>
      </c>
      <c r="F5" s="31" t="n">
        <f aca="false">Выручка!F125</f>
        <v>5727535.17702912</v>
      </c>
      <c r="G5" s="31" t="n">
        <f aca="false">Выручка!G125</f>
        <v>5956636.58411029</v>
      </c>
      <c r="H5" s="31" t="n">
        <f aca="false">Выручка!H125</f>
        <v>6194902.04747469</v>
      </c>
      <c r="I5" s="31" t="n">
        <f aca="false">Выручка!I125</f>
        <v>6442698.12937368</v>
      </c>
      <c r="J5" s="31" t="n">
        <f aca="false">Выручка!J125</f>
        <v>6700406.05454863</v>
      </c>
    </row>
    <row r="6" customFormat="false" ht="15" hidden="false" customHeight="false" outlineLevel="0" collapsed="false">
      <c r="A6" s="19" t="s">
        <v>224</v>
      </c>
      <c r="C6" s="20" t="n">
        <f aca="false">C4-C5</f>
        <v>1171593</v>
      </c>
      <c r="D6" s="20" t="n">
        <f aca="false">D4-D5</f>
        <v>11888256.039912</v>
      </c>
      <c r="E6" s="20" t="n">
        <f aca="false">E4-E5</f>
        <v>15729924.764736</v>
      </c>
      <c r="F6" s="20" t="n">
        <f aca="false">F4-F5</f>
        <v>16359121.7553254</v>
      </c>
      <c r="G6" s="20" t="n">
        <f aca="false">G4-G5</f>
        <v>17013486.6255385</v>
      </c>
      <c r="H6" s="20" t="n">
        <f aca="false">H4-H5</f>
        <v>17694026.09056</v>
      </c>
      <c r="I6" s="20" t="n">
        <f aca="false">I4-I5</f>
        <v>18401787.1341824</v>
      </c>
      <c r="J6" s="20" t="n">
        <f aca="false">J4-J5</f>
        <v>19137858.6195497</v>
      </c>
    </row>
    <row r="7" customFormat="false" ht="15" hidden="false" customHeight="false" outlineLevel="0" collapsed="false">
      <c r="A7" s="4" t="s">
        <v>225</v>
      </c>
      <c r="C7" s="12" t="n">
        <f aca="false">IF(C4=0,0,C6/C4)</f>
        <v>0.741452425125895</v>
      </c>
      <c r="D7" s="12" t="n">
        <f aca="false">IF(D4=0,0,D6/D4)</f>
        <v>0.740856944997942</v>
      </c>
      <c r="E7" s="12" t="n">
        <f aca="false">IF(E4=0,0,E6/E4)</f>
        <v>0.740678945004171</v>
      </c>
      <c r="F7" s="12" t="n">
        <f aca="false">IF(F4=0,0,F6/F4)</f>
        <v>0.740678945004171</v>
      </c>
      <c r="G7" s="12" t="n">
        <f aca="false">IF(G4=0,0,G6/G4)</f>
        <v>0.740678945004171</v>
      </c>
      <c r="H7" s="12" t="n">
        <f aca="false">IF(H4=0,0,H6/H4)</f>
        <v>0.740678945004171</v>
      </c>
      <c r="I7" s="12" t="n">
        <f aca="false">IF(I4=0,0,I6/I4)</f>
        <v>0.740678945004171</v>
      </c>
      <c r="J7" s="12" t="n">
        <f aca="false">IF(J4=0,0,J6/J4)</f>
        <v>0.740678945004171</v>
      </c>
    </row>
    <row r="9" customFormat="false" ht="15" hidden="false" customHeight="false" outlineLevel="0" collapsed="false">
      <c r="A9" s="3" t="s">
        <v>226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15" hidden="false" customHeight="false" outlineLevel="0" collapsed="false">
      <c r="A10" s="4" t="s">
        <v>227</v>
      </c>
      <c r="C10" s="32" t="n">
        <f aca="false">ФОТ!C76</f>
        <v>2940000</v>
      </c>
      <c r="D10" s="32" t="n">
        <f aca="false">ФОТ!D76</f>
        <v>18522000</v>
      </c>
      <c r="E10" s="32" t="n">
        <f aca="false">ФОТ!E76</f>
        <v>19448220</v>
      </c>
      <c r="F10" s="32" t="n">
        <f aca="false">ФОТ!F76</f>
        <v>20323452</v>
      </c>
      <c r="G10" s="32" t="n">
        <f aca="false">ФОТ!G76</f>
        <v>21238080</v>
      </c>
      <c r="H10" s="32" t="n">
        <f aca="false">ФОТ!H76</f>
        <v>22087644</v>
      </c>
      <c r="I10" s="32" t="n">
        <f aca="false">ФОТ!I76</f>
        <v>22971216</v>
      </c>
      <c r="J10" s="32" t="n">
        <f aca="false">ФОТ!J76</f>
        <v>23890068</v>
      </c>
    </row>
    <row r="11" customFormat="false" ht="15" hidden="false" customHeight="false" outlineLevel="0" collapsed="false">
      <c r="A11" s="4" t="s">
        <v>228</v>
      </c>
      <c r="C11" s="32" t="n">
        <f aca="false">ФОТ!C77</f>
        <v>223440</v>
      </c>
      <c r="D11" s="32" t="n">
        <f aca="false">ФОТ!D77</f>
        <v>1407672</v>
      </c>
      <c r="E11" s="32" t="n">
        <f aca="false">ФОТ!E77</f>
        <v>1478064.72</v>
      </c>
      <c r="F11" s="32" t="n">
        <f aca="false">ФОТ!F77</f>
        <v>1544582.352</v>
      </c>
      <c r="G11" s="32" t="n">
        <f aca="false">ФОТ!G77</f>
        <v>1614094.08</v>
      </c>
      <c r="H11" s="32" t="n">
        <f aca="false">ФОТ!H77</f>
        <v>1678660.944</v>
      </c>
      <c r="I11" s="32" t="n">
        <f aca="false">ФОТ!I77</f>
        <v>1745812.416</v>
      </c>
      <c r="J11" s="32" t="n">
        <f aca="false">ФОТ!J77</f>
        <v>1815645.168</v>
      </c>
    </row>
    <row r="12" customFormat="false" ht="15" hidden="false" customHeight="false" outlineLevel="0" collapsed="false">
      <c r="A12" s="4" t="s">
        <v>229</v>
      </c>
      <c r="C12" s="32" t="n">
        <f aca="false">OPEX!C19</f>
        <v>1350000</v>
      </c>
      <c r="D12" s="32" t="n">
        <f aca="false">OPEX!D19</f>
        <v>8465100</v>
      </c>
      <c r="E12" s="32" t="n">
        <f aca="false">OPEX!E19</f>
        <v>8828905</v>
      </c>
      <c r="F12" s="32" t="n">
        <f aca="false">OPEX!F19</f>
        <v>9208521</v>
      </c>
      <c r="G12" s="32" t="n">
        <f aca="false">OPEX!G19</f>
        <v>9604645</v>
      </c>
      <c r="H12" s="32" t="n">
        <f aca="false">OPEX!H19</f>
        <v>10018003</v>
      </c>
      <c r="I12" s="32" t="n">
        <f aca="false">OPEX!I19</f>
        <v>10449354</v>
      </c>
      <c r="J12" s="32" t="n">
        <f aca="false">OPEX!J19</f>
        <v>10899492</v>
      </c>
    </row>
    <row r="13" customFormat="false" ht="23.85" hidden="false" customHeight="false" outlineLevel="0" collapsed="false">
      <c r="A13" s="4" t="s">
        <v>230</v>
      </c>
      <c r="C13" s="32" t="n">
        <f aca="false">OPEX!C27-Выручка!C125</f>
        <v>90067</v>
      </c>
      <c r="D13" s="32" t="n">
        <f aca="false">OPEX!D27-Выручка!D125</f>
        <v>914658</v>
      </c>
      <c r="E13" s="32" t="n">
        <f aca="false">OPEX!E27-Выручка!E125</f>
        <v>1210519</v>
      </c>
      <c r="F13" s="32" t="n">
        <f aca="false">OPEX!F27-Выручка!F125</f>
        <v>1258939</v>
      </c>
      <c r="G13" s="32" t="n">
        <f aca="false">OPEX!G27-Выручка!G125</f>
        <v>1309297</v>
      </c>
      <c r="H13" s="32" t="n">
        <f aca="false">OPEX!H27-Выручка!H125</f>
        <v>1361669</v>
      </c>
      <c r="I13" s="32" t="n">
        <f aca="false">OPEX!I27-Выручка!I125</f>
        <v>1416135</v>
      </c>
      <c r="J13" s="32" t="n">
        <f aca="false">OPEX!J27-Выручка!J125</f>
        <v>1472781</v>
      </c>
    </row>
    <row r="14" customFormat="false" ht="15" hidden="false" customHeight="false" outlineLevel="0" collapsed="false">
      <c r="A14" s="33" t="s">
        <v>231</v>
      </c>
      <c r="C14" s="34" t="n">
        <f aca="false">C10+C11+C12+C13</f>
        <v>4603507</v>
      </c>
      <c r="D14" s="34" t="n">
        <f aca="false">D10+D11+D12+D13</f>
        <v>29309430</v>
      </c>
      <c r="E14" s="34" t="n">
        <f aca="false">E10+E11+E12+E13</f>
        <v>30965708.72</v>
      </c>
      <c r="F14" s="34" t="n">
        <f aca="false">F10+F11+F12+F13</f>
        <v>32335494.352</v>
      </c>
      <c r="G14" s="34" t="n">
        <f aca="false">G10+G11+G12+G13</f>
        <v>33766116.08</v>
      </c>
      <c r="H14" s="34" t="n">
        <f aca="false">H10+H11+H12+H13</f>
        <v>35145976.944</v>
      </c>
      <c r="I14" s="34" t="n">
        <f aca="false">I10+I11+I12+I13</f>
        <v>36582517.416</v>
      </c>
      <c r="J14" s="34" t="n">
        <f aca="false">J10+J11+J12+J13</f>
        <v>38077986.168</v>
      </c>
    </row>
    <row r="16" customFormat="false" ht="15" hidden="false" customHeight="false" outlineLevel="0" collapsed="false">
      <c r="A16" s="19" t="s">
        <v>232</v>
      </c>
      <c r="C16" s="20" t="n">
        <f aca="false">C6-C14</f>
        <v>-3431914</v>
      </c>
      <c r="D16" s="20" t="n">
        <f aca="false">D6-D14</f>
        <v>-17421173.960088</v>
      </c>
      <c r="E16" s="20" t="n">
        <f aca="false">E6-E14</f>
        <v>-15235783.955264</v>
      </c>
      <c r="F16" s="20" t="n">
        <f aca="false">F6-F14</f>
        <v>-15976372.5966746</v>
      </c>
      <c r="G16" s="20" t="n">
        <f aca="false">G6-G14</f>
        <v>-16752629.4544615</v>
      </c>
      <c r="H16" s="20" t="n">
        <f aca="false">H6-H14</f>
        <v>-17451950.85344</v>
      </c>
      <c r="I16" s="20" t="n">
        <f aca="false">I6-I14</f>
        <v>-18180730.2818176</v>
      </c>
      <c r="J16" s="20" t="n">
        <f aca="false">J6-J14</f>
        <v>-18940127.5484503</v>
      </c>
    </row>
    <row r="17" customFormat="false" ht="15" hidden="false" customHeight="false" outlineLevel="0" collapsed="false">
      <c r="A17" s="4" t="s">
        <v>233</v>
      </c>
      <c r="C17" s="12" t="n">
        <f aca="false">IF(C4=0,0,C16/C4)</f>
        <v>-2.17191546733679</v>
      </c>
      <c r="D17" s="12" t="n">
        <f aca="false">IF(D4=0,0,D16/D4)</f>
        <v>-1.08565946721013</v>
      </c>
      <c r="E17" s="12" t="n">
        <f aca="false">IF(E4=0,0,E16/E4)</f>
        <v>-0.717411211755774</v>
      </c>
      <c r="F17" s="12" t="n">
        <f aca="false">IF(F4=0,0,F16/F4)</f>
        <v>-0.723349515755411</v>
      </c>
      <c r="G17" s="12" t="n">
        <f aca="false">IF(G4=0,0,G16/G4)</f>
        <v>-0.729322577051937</v>
      </c>
      <c r="H17" s="12" t="n">
        <f aca="false">IF(H4=0,0,H16/H4)</f>
        <v>-0.730545579634187</v>
      </c>
      <c r="I17" s="12" t="n">
        <f aca="false">IF(I4=0,0,I16/I4)</f>
        <v>-0.731781322452536</v>
      </c>
      <c r="J17" s="12" t="n">
        <f aca="false">IF(J4=0,0,J16/J4)</f>
        <v>-0.733026299844235</v>
      </c>
    </row>
    <row r="19" customFormat="false" ht="15" hidden="false" customHeight="false" outlineLevel="0" collapsed="false">
      <c r="A19" s="4" t="s">
        <v>234</v>
      </c>
      <c r="C19" s="11" t="n">
        <v>0</v>
      </c>
      <c r="D19" s="11" t="n">
        <v>785000</v>
      </c>
      <c r="E19" s="11" t="n">
        <v>1570000</v>
      </c>
      <c r="F19" s="11" t="n">
        <v>1570000</v>
      </c>
      <c r="G19" s="11" t="n">
        <v>1570000</v>
      </c>
      <c r="H19" s="11" t="n">
        <v>1570000</v>
      </c>
      <c r="I19" s="11" t="n">
        <v>1570000</v>
      </c>
      <c r="J19" s="11" t="n">
        <v>1570000</v>
      </c>
    </row>
    <row r="20" customFormat="false" ht="15" hidden="false" customHeight="false" outlineLevel="0" collapsed="false">
      <c r="A20" s="19" t="s">
        <v>235</v>
      </c>
      <c r="C20" s="20" t="n">
        <f aca="false">C16-C19</f>
        <v>-3431914</v>
      </c>
      <c r="D20" s="20" t="n">
        <f aca="false">D16-D19</f>
        <v>-18206173.960088</v>
      </c>
      <c r="E20" s="20" t="n">
        <f aca="false">E16-E19</f>
        <v>-16805783.955264</v>
      </c>
      <c r="F20" s="20" t="n">
        <f aca="false">F16-F19</f>
        <v>-17546372.5966746</v>
      </c>
      <c r="G20" s="20" t="n">
        <f aca="false">G16-G19</f>
        <v>-18322629.4544615</v>
      </c>
      <c r="H20" s="20" t="n">
        <f aca="false">H16-H19</f>
        <v>-19021950.85344</v>
      </c>
      <c r="I20" s="20" t="n">
        <f aca="false">I16-I19</f>
        <v>-19750730.2818176</v>
      </c>
      <c r="J20" s="20" t="n">
        <f aca="false">J16-J19</f>
        <v>-20510127.5484503</v>
      </c>
    </row>
    <row r="22" customFormat="false" ht="15" hidden="false" customHeight="false" outlineLevel="0" collapsed="false">
      <c r="A22" s="4" t="s">
        <v>236</v>
      </c>
      <c r="C22" s="35" t="n">
        <f aca="false">IF(C20&gt;0,C20*0.05,0)</f>
        <v>0</v>
      </c>
      <c r="D22" s="35" t="n">
        <f aca="false">IF(D20&gt;0,D20*0.05,0)</f>
        <v>0</v>
      </c>
      <c r="E22" s="35" t="n">
        <f aca="false">IF(E20&gt;0,E20*0.05,0)</f>
        <v>0</v>
      </c>
      <c r="F22" s="35" t="n">
        <f aca="false">IF(F20&gt;0,F20*0.1,0)</f>
        <v>0</v>
      </c>
      <c r="G22" s="35" t="n">
        <f aca="false">IF(G20&gt;0,G20*0.1,0)</f>
        <v>0</v>
      </c>
      <c r="H22" s="35" t="n">
        <f aca="false">IF(H20&gt;0,H20*0.1,0)</f>
        <v>0</v>
      </c>
      <c r="I22" s="35" t="n">
        <f aca="false">IF(I20&gt;0,I20*0.15,0)</f>
        <v>0</v>
      </c>
      <c r="J22" s="35" t="n">
        <f aca="false">IF(J20&gt;0,J20*0.15,0)</f>
        <v>0</v>
      </c>
    </row>
    <row r="24" customFormat="false" ht="15" hidden="false" customHeight="false" outlineLevel="0" collapsed="false">
      <c r="A24" s="19" t="s">
        <v>237</v>
      </c>
      <c r="C24" s="20" t="n">
        <f aca="false">C20-C22</f>
        <v>-3431914</v>
      </c>
      <c r="D24" s="20" t="n">
        <f aca="false">D20-D22</f>
        <v>-18206173.960088</v>
      </c>
      <c r="E24" s="20" t="n">
        <f aca="false">E20-E22</f>
        <v>-16805783.955264</v>
      </c>
      <c r="F24" s="20" t="n">
        <f aca="false">F20-F22</f>
        <v>-17546372.5966746</v>
      </c>
      <c r="G24" s="20" t="n">
        <f aca="false">G20-G22</f>
        <v>-18322629.4544615</v>
      </c>
      <c r="H24" s="20" t="n">
        <f aca="false">H20-H22</f>
        <v>-19021950.85344</v>
      </c>
      <c r="I24" s="20" t="n">
        <f aca="false">I20-I22</f>
        <v>-19750730.2818176</v>
      </c>
      <c r="J24" s="20" t="n">
        <f aca="false">J20-J22</f>
        <v>-20510127.5484503</v>
      </c>
    </row>
    <row r="25" customFormat="false" ht="15" hidden="false" customHeight="false" outlineLevel="0" collapsed="false">
      <c r="A25" s="4" t="s">
        <v>238</v>
      </c>
      <c r="C25" s="12" t="n">
        <f aca="false">IF(C4=0,0,C24/C4)</f>
        <v>-2.17191546733679</v>
      </c>
      <c r="D25" s="12" t="n">
        <f aca="false">IF(D4=0,0,D24/D4)</f>
        <v>-1.13457940129221</v>
      </c>
      <c r="E25" s="12" t="n">
        <f aca="false">IF(E4=0,0,E24/E4)</f>
        <v>-0.791338198759775</v>
      </c>
      <c r="F25" s="12" t="n">
        <f aca="false">IF(F4=0,0,F24/F4)</f>
        <v>-0.794433157105411</v>
      </c>
      <c r="G25" s="12" t="n">
        <f aca="false">IF(G4=0,0,G24/G4)</f>
        <v>-0.797672232196169</v>
      </c>
      <c r="H25" s="12" t="n">
        <f aca="false">IF(H4=0,0,H24/H4)</f>
        <v>-0.796266401888256</v>
      </c>
      <c r="I25" s="12" t="n">
        <f aca="false">IF(I4=0,0,I24/I4)</f>
        <v>-0.794974420773756</v>
      </c>
      <c r="J25" s="12" t="n">
        <f aca="false">IF(J4=0,0,J24/J4)</f>
        <v>-0.79378889438387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10" min="2" style="0" width="18"/>
  </cols>
  <sheetData>
    <row r="1" customFormat="false" ht="32.8" hidden="false" customHeight="false" outlineLevel="0" collapsed="false">
      <c r="A1" s="1" t="s">
        <v>239</v>
      </c>
    </row>
    <row r="3" customFormat="false" ht="15" hidden="false" customHeight="false" outlineLevel="0" collapsed="false">
      <c r="A3" s="26" t="s">
        <v>91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3" t="s">
        <v>240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5" hidden="false" customHeight="false" outlineLevel="0" collapsed="false">
      <c r="A5" s="4" t="s">
        <v>241</v>
      </c>
      <c r="C5" s="32" t="n">
        <f aca="false">'P&amp;L'!C24</f>
        <v>-3431914</v>
      </c>
      <c r="D5" s="32" t="n">
        <f aca="false">'P&amp;L'!D24</f>
        <v>-18206173.960088</v>
      </c>
      <c r="E5" s="32" t="n">
        <f aca="false">'P&amp;L'!E24</f>
        <v>-16805783.955264</v>
      </c>
      <c r="F5" s="32" t="n">
        <f aca="false">'P&amp;L'!F24</f>
        <v>-17546372.5966746</v>
      </c>
      <c r="G5" s="32" t="n">
        <f aca="false">'P&amp;L'!G24</f>
        <v>-18322629.4544615</v>
      </c>
      <c r="H5" s="32" t="n">
        <f aca="false">'P&amp;L'!H24</f>
        <v>-19021950.85344</v>
      </c>
      <c r="I5" s="32" t="n">
        <f aca="false">'P&amp;L'!I24</f>
        <v>-19750730.2818176</v>
      </c>
      <c r="J5" s="32" t="n">
        <f aca="false">'P&amp;L'!J24</f>
        <v>-20510127.5484503</v>
      </c>
    </row>
    <row r="6" customFormat="false" ht="15" hidden="false" customHeight="false" outlineLevel="0" collapsed="false">
      <c r="A6" s="4" t="s">
        <v>242</v>
      </c>
      <c r="C6" s="32" t="n">
        <f aca="false">'P&amp;L'!C19</f>
        <v>0</v>
      </c>
      <c r="D6" s="32" t="n">
        <f aca="false">'P&amp;L'!D19</f>
        <v>785000</v>
      </c>
      <c r="E6" s="32" t="n">
        <f aca="false">'P&amp;L'!E19</f>
        <v>1570000</v>
      </c>
      <c r="F6" s="32" t="n">
        <f aca="false">'P&amp;L'!F19</f>
        <v>1570000</v>
      </c>
      <c r="G6" s="32" t="n">
        <f aca="false">'P&amp;L'!G19</f>
        <v>1570000</v>
      </c>
      <c r="H6" s="32" t="n">
        <f aca="false">'P&amp;L'!H19</f>
        <v>1570000</v>
      </c>
      <c r="I6" s="32" t="n">
        <f aca="false">'P&amp;L'!I19</f>
        <v>1570000</v>
      </c>
      <c r="J6" s="32" t="n">
        <f aca="false">'P&amp;L'!J19</f>
        <v>1570000</v>
      </c>
    </row>
    <row r="7" customFormat="false" ht="15" hidden="false" customHeight="false" outlineLevel="0" collapsed="false">
      <c r="A7" s="28" t="s">
        <v>243</v>
      </c>
      <c r="C7" s="36" t="n">
        <f aca="false">C5+C6</f>
        <v>-3431914</v>
      </c>
      <c r="D7" s="36" t="n">
        <f aca="false">D5+D6</f>
        <v>-17421173.960088</v>
      </c>
      <c r="E7" s="36" t="n">
        <f aca="false">E5+E6</f>
        <v>-15235783.955264</v>
      </c>
      <c r="F7" s="36" t="n">
        <f aca="false">F5+F6</f>
        <v>-15976372.5966746</v>
      </c>
      <c r="G7" s="36" t="n">
        <f aca="false">G5+G6</f>
        <v>-16752629.4544615</v>
      </c>
      <c r="H7" s="36" t="n">
        <f aca="false">H5+H6</f>
        <v>-17451950.85344</v>
      </c>
      <c r="I7" s="36" t="n">
        <f aca="false">I5+I6</f>
        <v>-18180730.2818176</v>
      </c>
      <c r="J7" s="36" t="n">
        <f aca="false">J5+J6</f>
        <v>-18940127.5484503</v>
      </c>
    </row>
    <row r="9" customFormat="false" ht="15" hidden="false" customHeight="false" outlineLevel="0" collapsed="false">
      <c r="A9" s="3" t="s">
        <v>244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15" hidden="false" customHeight="false" outlineLevel="0" collapsed="false">
      <c r="A10" s="4" t="s">
        <v>245</v>
      </c>
      <c r="C10" s="11" t="n">
        <v>-13450000</v>
      </c>
      <c r="D10" s="11" t="n">
        <v>-2484793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</row>
    <row r="11" customFormat="false" ht="15" hidden="false" customHeight="false" outlineLevel="0" collapsed="false">
      <c r="A11" s="4" t="s">
        <v>246</v>
      </c>
      <c r="C11" s="11" t="n">
        <v>0</v>
      </c>
      <c r="D11" s="11" t="n">
        <v>0</v>
      </c>
      <c r="E11" s="11" t="n">
        <v>0</v>
      </c>
      <c r="F11" s="11" t="n">
        <v>0</v>
      </c>
      <c r="G11" s="11" t="n">
        <v>-300000</v>
      </c>
      <c r="H11" s="11" t="n">
        <v>-500000</v>
      </c>
      <c r="I11" s="11" t="n">
        <v>-300000</v>
      </c>
      <c r="J11" s="11" t="n">
        <v>-400000</v>
      </c>
    </row>
    <row r="12" customFormat="false" ht="15" hidden="false" customHeight="false" outlineLevel="0" collapsed="false">
      <c r="A12" s="33" t="s">
        <v>247</v>
      </c>
      <c r="C12" s="34" t="n">
        <f aca="false">C10+C11</f>
        <v>-13450000</v>
      </c>
      <c r="D12" s="34" t="n">
        <f aca="false">D10+D11</f>
        <v>-2484793</v>
      </c>
      <c r="E12" s="34" t="n">
        <f aca="false">E10+E11</f>
        <v>0</v>
      </c>
      <c r="F12" s="34" t="n">
        <f aca="false">F10+F11</f>
        <v>0</v>
      </c>
      <c r="G12" s="34" t="n">
        <f aca="false">G10+G11</f>
        <v>-300000</v>
      </c>
      <c r="H12" s="34" t="n">
        <f aca="false">H10+H11</f>
        <v>-500000</v>
      </c>
      <c r="I12" s="34" t="n">
        <f aca="false">I10+I11</f>
        <v>-300000</v>
      </c>
      <c r="J12" s="34" t="n">
        <f aca="false">J10+J11</f>
        <v>-400000</v>
      </c>
    </row>
    <row r="14" customFormat="false" ht="15" hidden="false" customHeight="false" outlineLevel="0" collapsed="false">
      <c r="A14" s="3" t="s">
        <v>248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15" hidden="false" customHeight="false" outlineLevel="0" collapsed="false">
      <c r="A15" s="4" t="s">
        <v>249</v>
      </c>
      <c r="C15" s="11" t="n">
        <v>5100000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</row>
    <row r="16" customFormat="false" ht="15" hidden="false" customHeight="false" outlineLevel="0" collapsed="false">
      <c r="A16" s="4" t="s">
        <v>250</v>
      </c>
      <c r="C16" s="11" t="n">
        <v>0</v>
      </c>
      <c r="D16" s="11" t="n">
        <v>-1275000</v>
      </c>
      <c r="E16" s="11" t="n">
        <v>-1275000</v>
      </c>
      <c r="F16" s="11" t="n">
        <v>-1275000</v>
      </c>
      <c r="G16" s="11" t="n">
        <v>-1275000</v>
      </c>
      <c r="H16" s="11" t="n">
        <v>0</v>
      </c>
      <c r="I16" s="11" t="n">
        <v>0</v>
      </c>
      <c r="J16" s="11" t="n">
        <v>0</v>
      </c>
    </row>
    <row r="17" customFormat="false" ht="15" hidden="false" customHeight="false" outlineLevel="0" collapsed="false">
      <c r="A17" s="4" t="s">
        <v>251</v>
      </c>
      <c r="C17" s="11" t="n">
        <v>-459000</v>
      </c>
      <c r="D17" s="11" t="n">
        <v>-918000</v>
      </c>
      <c r="E17" s="11" t="n">
        <v>-688500</v>
      </c>
      <c r="F17" s="11" t="n">
        <v>-459000</v>
      </c>
      <c r="G17" s="11" t="n">
        <v>-229500</v>
      </c>
      <c r="H17" s="11" t="n">
        <v>0</v>
      </c>
      <c r="I17" s="11" t="n">
        <v>0</v>
      </c>
      <c r="J17" s="11" t="n">
        <v>0</v>
      </c>
    </row>
    <row r="18" customFormat="false" ht="15" hidden="false" customHeight="false" outlineLevel="0" collapsed="false">
      <c r="A18" s="4" t="s">
        <v>252</v>
      </c>
      <c r="C18" s="11" t="n">
        <v>10000000</v>
      </c>
      <c r="D18" s="11" t="n">
        <v>0</v>
      </c>
      <c r="E18" s="11" t="n">
        <v>0</v>
      </c>
      <c r="F18" s="11" t="n">
        <v>0</v>
      </c>
      <c r="G18" s="11" t="n">
        <v>0</v>
      </c>
      <c r="H18" s="11" t="n">
        <v>0</v>
      </c>
      <c r="I18" s="11" t="n">
        <v>0</v>
      </c>
      <c r="J18" s="11" t="n">
        <v>0</v>
      </c>
    </row>
    <row r="19" customFormat="false" ht="15" hidden="false" customHeight="false" outlineLevel="0" collapsed="false">
      <c r="A19" s="14" t="s">
        <v>253</v>
      </c>
      <c r="C19" s="37" t="n">
        <f aca="false">C15+C16+C17+C18</f>
        <v>14641000</v>
      </c>
      <c r="D19" s="37" t="n">
        <f aca="false">D15+D16+D17+D18</f>
        <v>-2193000</v>
      </c>
      <c r="E19" s="37" t="n">
        <f aca="false">E15+E16+E17+E18</f>
        <v>-1963500</v>
      </c>
      <c r="F19" s="37" t="n">
        <f aca="false">F15+F16+F17+F18</f>
        <v>-1734000</v>
      </c>
      <c r="G19" s="37" t="n">
        <f aca="false">G15+G16+G17+G18</f>
        <v>-1504500</v>
      </c>
      <c r="H19" s="37" t="n">
        <f aca="false">H15+H16+H17+H18</f>
        <v>0</v>
      </c>
      <c r="I19" s="37" t="n">
        <f aca="false">I15+I16+I17+I18</f>
        <v>0</v>
      </c>
      <c r="J19" s="37" t="n">
        <f aca="false">J15+J16+J17+J18</f>
        <v>0</v>
      </c>
    </row>
    <row r="21" customFormat="false" ht="15" hidden="false" customHeight="false" outlineLevel="0" collapsed="false">
      <c r="A21" s="19" t="s">
        <v>254</v>
      </c>
      <c r="B21" s="38"/>
      <c r="C21" s="20" t="n">
        <f aca="false">C7+C12+C19</f>
        <v>-2240914</v>
      </c>
      <c r="D21" s="20" t="n">
        <f aca="false">D7+D12+D19</f>
        <v>-22098966.960088</v>
      </c>
      <c r="E21" s="20" t="n">
        <f aca="false">E7+E12+E19</f>
        <v>-17199283.955264</v>
      </c>
      <c r="F21" s="20" t="n">
        <f aca="false">F7+F12+F19</f>
        <v>-17710372.5966746</v>
      </c>
      <c r="G21" s="20" t="n">
        <f aca="false">G7+G12+G19</f>
        <v>-18557129.4544615</v>
      </c>
      <c r="H21" s="20" t="n">
        <f aca="false">H7+H12+H19</f>
        <v>-17951950.85344</v>
      </c>
      <c r="I21" s="20" t="n">
        <f aca="false">I7+I12+I19</f>
        <v>-18480730.2818176</v>
      </c>
      <c r="J21" s="20" t="n">
        <f aca="false">J7+J12+J19</f>
        <v>-19340127.5484503</v>
      </c>
    </row>
    <row r="22" customFormat="false" ht="15" hidden="false" customHeight="false" outlineLevel="0" collapsed="false">
      <c r="A22" s="7" t="s">
        <v>255</v>
      </c>
      <c r="C22" s="39" t="n">
        <f aca="false">C21</f>
        <v>-2240914</v>
      </c>
      <c r="D22" s="39" t="n">
        <f aca="false">C22+D21</f>
        <v>-24339880.960088</v>
      </c>
      <c r="E22" s="39" t="n">
        <f aca="false">D22+E21</f>
        <v>-41539164.915352</v>
      </c>
      <c r="F22" s="39" t="n">
        <f aca="false">E22+F21</f>
        <v>-59249537.5120266</v>
      </c>
      <c r="G22" s="39" t="n">
        <f aca="false">F22+G21</f>
        <v>-77806666.9664881</v>
      </c>
      <c r="H22" s="39" t="n">
        <f aca="false">G22+H21</f>
        <v>-95758617.8199281</v>
      </c>
      <c r="I22" s="39" t="n">
        <f aca="false">H22+I21</f>
        <v>-114239348.101746</v>
      </c>
      <c r="J22" s="39" t="n">
        <f aca="false">I22+J21</f>
        <v>-133579475.650196</v>
      </c>
    </row>
    <row r="23" customFormat="false" ht="15" hidden="false" customHeight="false" outlineLevel="0" collapsed="false">
      <c r="A23" s="19" t="s">
        <v>256</v>
      </c>
      <c r="C23" s="20" t="n">
        <f aca="false">C22</f>
        <v>-2240914</v>
      </c>
      <c r="D23" s="20" t="n">
        <f aca="false">D22</f>
        <v>-24339880.960088</v>
      </c>
      <c r="E23" s="20" t="n">
        <f aca="false">E22</f>
        <v>-41539164.915352</v>
      </c>
      <c r="F23" s="20" t="n">
        <f aca="false">F22</f>
        <v>-59249537.5120266</v>
      </c>
      <c r="G23" s="20" t="n">
        <f aca="false">G22</f>
        <v>-77806666.9664881</v>
      </c>
      <c r="H23" s="20" t="n">
        <f aca="false">H22</f>
        <v>-95758617.8199281</v>
      </c>
      <c r="I23" s="20" t="n">
        <f aca="false">I22</f>
        <v>-114239348.101746</v>
      </c>
      <c r="J23" s="20" t="n">
        <f aca="false">J22</f>
        <v>-133579475.650196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10" min="2" style="0" width="18"/>
  </cols>
  <sheetData>
    <row r="1" customFormat="false" ht="17.35" hidden="false" customHeight="false" outlineLevel="0" collapsed="false">
      <c r="A1" s="1" t="s">
        <v>257</v>
      </c>
    </row>
    <row r="3" customFormat="false" ht="15" hidden="false" customHeight="false" outlineLevel="0" collapsed="false">
      <c r="A3" s="26" t="s">
        <v>91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3" t="s">
        <v>258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5" hidden="false" customHeight="false" outlineLevel="0" collapsed="false">
      <c r="A5" s="4" t="s">
        <v>259</v>
      </c>
      <c r="B5" s="17"/>
      <c r="C5" s="35" t="n">
        <f aca="false">368*1.047</f>
        <v>385.296</v>
      </c>
      <c r="D5" s="35" t="n">
        <f aca="false">C5*(1+0.043)</f>
        <v>401.863728</v>
      </c>
      <c r="E5" s="35" t="n">
        <f aca="false">D5*(1+0.04)</f>
        <v>417.93827712</v>
      </c>
      <c r="F5" s="35" t="n">
        <f aca="false">E5*(1+0.04)</f>
        <v>434.6558082048</v>
      </c>
      <c r="G5" s="35" t="n">
        <f aca="false">F5*(1+0.04)</f>
        <v>452.042040532992</v>
      </c>
      <c r="H5" s="35" t="n">
        <f aca="false">G5*(1+0.04)</f>
        <v>470.123722154312</v>
      </c>
      <c r="I5" s="35" t="n">
        <f aca="false">H5*(1+0.04)</f>
        <v>488.928671040484</v>
      </c>
      <c r="J5" s="35" t="n">
        <f aca="false">I5*(1+0.04)</f>
        <v>508.485817882104</v>
      </c>
    </row>
    <row r="6" customFormat="false" ht="15" hidden="false" customHeight="false" outlineLevel="0" collapsed="false">
      <c r="A6" s="40" t="s">
        <v>260</v>
      </c>
      <c r="B6" s="41"/>
      <c r="C6" s="6" t="n">
        <v>700</v>
      </c>
      <c r="D6" s="6" t="n">
        <v>1167</v>
      </c>
      <c r="E6" s="6" t="n">
        <v>1500</v>
      </c>
      <c r="F6" s="6" t="n">
        <v>1500</v>
      </c>
      <c r="G6" s="6" t="n">
        <v>1500</v>
      </c>
      <c r="H6" s="6" t="n">
        <v>1500</v>
      </c>
      <c r="I6" s="6" t="n">
        <v>1500</v>
      </c>
      <c r="J6" s="6" t="n">
        <v>1500</v>
      </c>
    </row>
    <row r="7" customFormat="false" ht="15" hidden="false" customHeight="false" outlineLevel="0" collapsed="false">
      <c r="A7" s="40" t="s">
        <v>261</v>
      </c>
      <c r="B7" s="41"/>
      <c r="C7" s="6" t="n">
        <v>2</v>
      </c>
      <c r="D7" s="6" t="n">
        <v>12</v>
      </c>
      <c r="E7" s="6" t="n">
        <v>12</v>
      </c>
      <c r="F7" s="6" t="n">
        <v>12</v>
      </c>
      <c r="G7" s="6" t="n">
        <v>12</v>
      </c>
      <c r="H7" s="6" t="n">
        <v>12</v>
      </c>
      <c r="I7" s="6" t="n">
        <v>12</v>
      </c>
      <c r="J7" s="6" t="n">
        <v>12</v>
      </c>
    </row>
    <row r="8" customFormat="false" ht="15" hidden="false" customHeight="false" outlineLevel="0" collapsed="false">
      <c r="A8" s="28" t="s">
        <v>262</v>
      </c>
      <c r="B8" s="42"/>
      <c r="C8" s="36" t="n">
        <f aca="false">C5*C6*C7</f>
        <v>539414.4</v>
      </c>
      <c r="D8" s="36" t="n">
        <f aca="false">D5*D6*D7</f>
        <v>5627699.646912</v>
      </c>
      <c r="E8" s="36" t="n">
        <f aca="false">E5*E6*E7</f>
        <v>7522888.98816</v>
      </c>
      <c r="F8" s="36" t="n">
        <f aca="false">F5*F6*F7</f>
        <v>7823804.5476864</v>
      </c>
      <c r="G8" s="36" t="n">
        <f aca="false">G5*G6*G7</f>
        <v>8136756.72959386</v>
      </c>
      <c r="H8" s="36" t="n">
        <f aca="false">H5*H6*H7</f>
        <v>8462226.99877761</v>
      </c>
      <c r="I8" s="36" t="n">
        <f aca="false">I5*I6*I7</f>
        <v>8800716.07872872</v>
      </c>
      <c r="J8" s="36" t="n">
        <f aca="false">J5*J6*J7</f>
        <v>9152744.72187787</v>
      </c>
    </row>
    <row r="9" customFormat="false" ht="15" hidden="false" customHeight="false" outlineLevel="0" collapsed="false">
      <c r="A9" s="30" t="s">
        <v>34</v>
      </c>
      <c r="B9" s="43"/>
      <c r="C9" s="44" t="n">
        <f aca="false">85*1.047</f>
        <v>88.995</v>
      </c>
      <c r="D9" s="44" t="n">
        <f aca="false">C9*(1+0.043)</f>
        <v>92.821785</v>
      </c>
      <c r="E9" s="44" t="n">
        <f aca="false">D9*(1+0.04)</f>
        <v>96.5346564</v>
      </c>
      <c r="F9" s="44" t="n">
        <f aca="false">E9*(1+0.04)</f>
        <v>100.396042656</v>
      </c>
      <c r="G9" s="44" t="n">
        <f aca="false">F9*(1+0.04)</f>
        <v>104.41188436224</v>
      </c>
      <c r="H9" s="44" t="n">
        <f aca="false">G9*(1+0.04)</f>
        <v>108.58835973673</v>
      </c>
      <c r="I9" s="44" t="n">
        <f aca="false">H9*(1+0.04)</f>
        <v>112.931894126199</v>
      </c>
      <c r="J9" s="44" t="n">
        <f aca="false">I9*(1+0.04)</f>
        <v>117.449169891247</v>
      </c>
    </row>
    <row r="10" customFormat="false" ht="15" hidden="false" customHeight="false" outlineLevel="0" collapsed="false">
      <c r="A10" s="30" t="s">
        <v>263</v>
      </c>
      <c r="B10" s="43"/>
      <c r="C10" s="44" t="n">
        <f aca="false">C9*C6*C7</f>
        <v>124593</v>
      </c>
      <c r="D10" s="44" t="n">
        <f aca="false">D9*D6*D7</f>
        <v>1299876.27714</v>
      </c>
      <c r="E10" s="44" t="n">
        <f aca="false">E9*E6*E7</f>
        <v>1737623.8152</v>
      </c>
      <c r="F10" s="44" t="n">
        <f aca="false">F9*F6*F7</f>
        <v>1807128.767808</v>
      </c>
      <c r="G10" s="44" t="n">
        <f aca="false">G9*G6*G7</f>
        <v>1879413.91852032</v>
      </c>
      <c r="H10" s="44" t="n">
        <f aca="false">H9*H6*H7</f>
        <v>1954590.47526113</v>
      </c>
      <c r="I10" s="44" t="n">
        <f aca="false">I9*I6*I7</f>
        <v>2032774.09427158</v>
      </c>
      <c r="J10" s="44" t="n">
        <f aca="false">J9*J6*J7</f>
        <v>2114085.05804244</v>
      </c>
    </row>
    <row r="11" customFormat="false" ht="15" hidden="false" customHeight="false" outlineLevel="0" collapsed="false">
      <c r="A11" s="7" t="s">
        <v>264</v>
      </c>
      <c r="B11" s="8"/>
      <c r="C11" s="39" t="n">
        <f aca="false">C8-C10</f>
        <v>414821.4</v>
      </c>
      <c r="D11" s="39" t="n">
        <f aca="false">D8-D10</f>
        <v>4327823.369772</v>
      </c>
      <c r="E11" s="39" t="n">
        <f aca="false">E8-E10</f>
        <v>5785265.17296</v>
      </c>
      <c r="F11" s="39" t="n">
        <f aca="false">F8-F10</f>
        <v>6016675.7798784</v>
      </c>
      <c r="G11" s="39" t="n">
        <f aca="false">G8-G10</f>
        <v>6257342.81107354</v>
      </c>
      <c r="H11" s="39" t="n">
        <f aca="false">H8-H10</f>
        <v>6507636.52351648</v>
      </c>
      <c r="I11" s="39" t="n">
        <f aca="false">I8-I10</f>
        <v>6767941.98445714</v>
      </c>
      <c r="J11" s="39" t="n">
        <f aca="false">J8-J10</f>
        <v>7038659.66383543</v>
      </c>
    </row>
    <row r="12" customFormat="false" ht="15" hidden="false" customHeight="false" outlineLevel="0" collapsed="false">
      <c r="A12" s="4" t="s">
        <v>265</v>
      </c>
      <c r="B12" s="17"/>
      <c r="C12" s="12" t="n">
        <f aca="false">IF(C8=0,0,(C8-C10)/C8)</f>
        <v>0.769021739130435</v>
      </c>
      <c r="D12" s="12" t="n">
        <f aca="false">IF(D8=0,0,(D8-D10)/D8)</f>
        <v>0.769021739130435</v>
      </c>
      <c r="E12" s="12" t="n">
        <f aca="false">IF(E8=0,0,(E8-E10)/E8)</f>
        <v>0.769021739130435</v>
      </c>
      <c r="F12" s="12" t="n">
        <f aca="false">IF(F8=0,0,(F8-F10)/F8)</f>
        <v>0.769021739130435</v>
      </c>
      <c r="G12" s="12" t="n">
        <f aca="false">IF(G8=0,0,(G8-G10)/G8)</f>
        <v>0.769021739130435</v>
      </c>
      <c r="H12" s="12" t="n">
        <f aca="false">IF(H8=0,0,(H8-H10)/H8)</f>
        <v>0.769021739130435</v>
      </c>
      <c r="I12" s="12" t="n">
        <f aca="false">IF(I8=0,0,(I8-I10)/I8)</f>
        <v>0.769021739130435</v>
      </c>
      <c r="J12" s="12" t="n">
        <f aca="false">IF(J8=0,0,(J8-J10)/J8)</f>
        <v>0.769021739130435</v>
      </c>
    </row>
    <row r="14" customFormat="false" ht="15" hidden="false" customHeight="false" outlineLevel="0" collapsed="false">
      <c r="A14" s="3" t="s">
        <v>266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15" hidden="false" customHeight="false" outlineLevel="0" collapsed="false">
      <c r="A15" s="4" t="s">
        <v>259</v>
      </c>
      <c r="B15" s="17"/>
      <c r="C15" s="35" t="n">
        <f aca="false">280*1.047</f>
        <v>293.16</v>
      </c>
      <c r="D15" s="35" t="n">
        <f aca="false">C15*(1+0.043)</f>
        <v>305.76588</v>
      </c>
      <c r="E15" s="35" t="n">
        <f aca="false">D15*(1+0.04)</f>
        <v>317.9965152</v>
      </c>
      <c r="F15" s="35" t="n">
        <f aca="false">E15*(1+0.04)</f>
        <v>330.716375808</v>
      </c>
      <c r="G15" s="35" t="n">
        <f aca="false">F15*(1+0.04)</f>
        <v>343.94503084032</v>
      </c>
      <c r="H15" s="35" t="n">
        <f aca="false">G15*(1+0.04)</f>
        <v>357.702832073933</v>
      </c>
      <c r="I15" s="35" t="n">
        <f aca="false">H15*(1+0.04)</f>
        <v>372.01094535689</v>
      </c>
      <c r="J15" s="35" t="n">
        <f aca="false">I15*(1+0.04)</f>
        <v>386.891383171166</v>
      </c>
    </row>
    <row r="16" customFormat="false" ht="15" hidden="false" customHeight="false" outlineLevel="0" collapsed="false">
      <c r="A16" s="40" t="s">
        <v>260</v>
      </c>
      <c r="B16" s="41"/>
      <c r="C16" s="6" t="n">
        <v>200</v>
      </c>
      <c r="D16" s="6" t="n">
        <v>317</v>
      </c>
      <c r="E16" s="6" t="n">
        <v>400</v>
      </c>
      <c r="F16" s="6" t="n">
        <v>400</v>
      </c>
      <c r="G16" s="6" t="n">
        <v>400</v>
      </c>
      <c r="H16" s="6" t="n">
        <v>400</v>
      </c>
      <c r="I16" s="6" t="n">
        <v>400</v>
      </c>
      <c r="J16" s="6" t="n">
        <v>400</v>
      </c>
    </row>
    <row r="17" customFormat="false" ht="15" hidden="false" customHeight="false" outlineLevel="0" collapsed="false">
      <c r="A17" s="40" t="s">
        <v>261</v>
      </c>
      <c r="B17" s="41"/>
      <c r="C17" s="6" t="n">
        <v>2</v>
      </c>
      <c r="D17" s="6" t="n">
        <v>12</v>
      </c>
      <c r="E17" s="6" t="n">
        <v>12</v>
      </c>
      <c r="F17" s="6" t="n">
        <v>12</v>
      </c>
      <c r="G17" s="6" t="n">
        <v>12</v>
      </c>
      <c r="H17" s="6" t="n">
        <v>12</v>
      </c>
      <c r="I17" s="6" t="n">
        <v>12</v>
      </c>
      <c r="J17" s="6" t="n">
        <v>12</v>
      </c>
    </row>
    <row r="18" customFormat="false" ht="15" hidden="false" customHeight="false" outlineLevel="0" collapsed="false">
      <c r="A18" s="28" t="s">
        <v>262</v>
      </c>
      <c r="B18" s="42"/>
      <c r="C18" s="36" t="n">
        <f aca="false">C15*C16*C17</f>
        <v>117264</v>
      </c>
      <c r="D18" s="36" t="n">
        <f aca="false">D15*D16*D17</f>
        <v>1163133.40752</v>
      </c>
      <c r="E18" s="36" t="n">
        <f aca="false">E15*E16*E17</f>
        <v>1526383.27296</v>
      </c>
      <c r="F18" s="36" t="n">
        <f aca="false">F15*F16*F17</f>
        <v>1587438.6038784</v>
      </c>
      <c r="G18" s="36" t="n">
        <f aca="false">G15*G16*G17</f>
        <v>1650936.14803354</v>
      </c>
      <c r="H18" s="36" t="n">
        <f aca="false">H15*H16*H17</f>
        <v>1716973.59395488</v>
      </c>
      <c r="I18" s="36" t="n">
        <f aca="false">I15*I16*I17</f>
        <v>1785652.53771307</v>
      </c>
      <c r="J18" s="36" t="n">
        <f aca="false">J15*J16*J17</f>
        <v>1857078.6392216</v>
      </c>
    </row>
    <row r="19" customFormat="false" ht="15" hidden="false" customHeight="false" outlineLevel="0" collapsed="false">
      <c r="A19" s="30" t="s">
        <v>34</v>
      </c>
      <c r="B19" s="43"/>
      <c r="C19" s="44" t="n">
        <f aca="false">55*1.047</f>
        <v>57.585</v>
      </c>
      <c r="D19" s="44" t="n">
        <f aca="false">C19*(1+0.043)</f>
        <v>60.061155</v>
      </c>
      <c r="E19" s="44" t="n">
        <f aca="false">D19*(1+0.04)</f>
        <v>62.4636012</v>
      </c>
      <c r="F19" s="44" t="n">
        <f aca="false">E19*(1+0.04)</f>
        <v>64.962145248</v>
      </c>
      <c r="G19" s="44" t="n">
        <f aca="false">F19*(1+0.04)</f>
        <v>67.56063105792</v>
      </c>
      <c r="H19" s="44" t="n">
        <f aca="false">G19*(1+0.04)</f>
        <v>70.2630563002368</v>
      </c>
      <c r="I19" s="44" t="n">
        <f aca="false">H19*(1+0.04)</f>
        <v>73.0735785522463</v>
      </c>
      <c r="J19" s="44" t="n">
        <f aca="false">I19*(1+0.04)</f>
        <v>75.9965216943361</v>
      </c>
    </row>
    <row r="20" customFormat="false" ht="15" hidden="false" customHeight="false" outlineLevel="0" collapsed="false">
      <c r="A20" s="30" t="s">
        <v>263</v>
      </c>
      <c r="B20" s="43"/>
      <c r="C20" s="44" t="n">
        <f aca="false">C19*C16*C17</f>
        <v>23034</v>
      </c>
      <c r="D20" s="44" t="n">
        <f aca="false">D19*D16*D17</f>
        <v>228472.63362</v>
      </c>
      <c r="E20" s="44" t="n">
        <f aca="false">E19*E16*E17</f>
        <v>299825.28576</v>
      </c>
      <c r="F20" s="44" t="n">
        <f aca="false">F19*F16*F17</f>
        <v>311818.2971904</v>
      </c>
      <c r="G20" s="44" t="n">
        <f aca="false">G19*G16*G17</f>
        <v>324291.029078016</v>
      </c>
      <c r="H20" s="44" t="n">
        <f aca="false">H19*H16*H17</f>
        <v>337262.670241137</v>
      </c>
      <c r="I20" s="44" t="n">
        <f aca="false">I19*I16*I17</f>
        <v>350753.177050782</v>
      </c>
      <c r="J20" s="44" t="n">
        <f aca="false">J19*J16*J17</f>
        <v>364783.304132814</v>
      </c>
    </row>
    <row r="21" customFormat="false" ht="15" hidden="false" customHeight="false" outlineLevel="0" collapsed="false">
      <c r="A21" s="7" t="s">
        <v>264</v>
      </c>
      <c r="B21" s="8"/>
      <c r="C21" s="39" t="n">
        <f aca="false">C18-C20</f>
        <v>94230</v>
      </c>
      <c r="D21" s="39" t="n">
        <f aca="false">D18-D20</f>
        <v>934660.7739</v>
      </c>
      <c r="E21" s="39" t="n">
        <f aca="false">E18-E20</f>
        <v>1226557.9872</v>
      </c>
      <c r="F21" s="39" t="n">
        <f aca="false">F18-F20</f>
        <v>1275620.306688</v>
      </c>
      <c r="G21" s="39" t="n">
        <f aca="false">G18-G20</f>
        <v>1326645.11895552</v>
      </c>
      <c r="H21" s="39" t="n">
        <f aca="false">H18-H20</f>
        <v>1379710.92371374</v>
      </c>
      <c r="I21" s="39" t="n">
        <f aca="false">I18-I20</f>
        <v>1434899.36066229</v>
      </c>
      <c r="J21" s="39" t="n">
        <f aca="false">J18-J20</f>
        <v>1492295.33508878</v>
      </c>
    </row>
    <row r="22" customFormat="false" ht="15" hidden="false" customHeight="false" outlineLevel="0" collapsed="false">
      <c r="A22" s="4" t="s">
        <v>265</v>
      </c>
      <c r="B22" s="17"/>
      <c r="C22" s="12" t="n">
        <f aca="false">IF(C18=0,0,(C18-C20)/C18)</f>
        <v>0.803571428571429</v>
      </c>
      <c r="D22" s="12" t="n">
        <f aca="false">IF(D18=0,0,(D18-D20)/D18)</f>
        <v>0.803571428571429</v>
      </c>
      <c r="E22" s="12" t="n">
        <f aca="false">IF(E18=0,0,(E18-E20)/E18)</f>
        <v>0.803571428571429</v>
      </c>
      <c r="F22" s="12" t="n">
        <f aca="false">IF(F18=0,0,(F18-F20)/F18)</f>
        <v>0.803571428571429</v>
      </c>
      <c r="G22" s="12" t="n">
        <f aca="false">IF(G18=0,0,(G18-G20)/G18)</f>
        <v>0.803571428571429</v>
      </c>
      <c r="H22" s="12" t="n">
        <f aca="false">IF(H18=0,0,(H18-H20)/H18)</f>
        <v>0.803571428571429</v>
      </c>
      <c r="I22" s="12" t="n">
        <f aca="false">IF(I18=0,0,(I18-I20)/I18)</f>
        <v>0.803571428571429</v>
      </c>
      <c r="J22" s="12" t="n">
        <f aca="false">IF(J18=0,0,(J18-J20)/J18)</f>
        <v>0.803571428571429</v>
      </c>
    </row>
    <row r="24" customFormat="false" ht="15" hidden="false" customHeight="false" outlineLevel="0" collapsed="false">
      <c r="A24" s="3" t="s">
        <v>267</v>
      </c>
      <c r="B24" s="3"/>
      <c r="C24" s="3"/>
      <c r="D24" s="3"/>
      <c r="E24" s="3"/>
      <c r="F24" s="3"/>
      <c r="G24" s="3"/>
      <c r="H24" s="3"/>
      <c r="I24" s="3"/>
      <c r="J24" s="3"/>
    </row>
    <row r="25" customFormat="false" ht="15" hidden="false" customHeight="false" outlineLevel="0" collapsed="false">
      <c r="A25" s="4" t="s">
        <v>259</v>
      </c>
      <c r="B25" s="17"/>
      <c r="C25" s="35" t="n">
        <f aca="false">420*1.047</f>
        <v>439.74</v>
      </c>
      <c r="D25" s="35" t="n">
        <f aca="false">C25*(1+0.043)</f>
        <v>458.64882</v>
      </c>
      <c r="E25" s="35" t="n">
        <f aca="false">D25*(1+0.04)</f>
        <v>476.9947728</v>
      </c>
      <c r="F25" s="35" t="n">
        <f aca="false">E25*(1+0.04)</f>
        <v>496.074563712</v>
      </c>
      <c r="G25" s="35" t="n">
        <f aca="false">F25*(1+0.04)</f>
        <v>515.91754626048</v>
      </c>
      <c r="H25" s="35" t="n">
        <f aca="false">G25*(1+0.04)</f>
        <v>536.554248110899</v>
      </c>
      <c r="I25" s="35" t="n">
        <f aca="false">H25*(1+0.04)</f>
        <v>558.016418035335</v>
      </c>
      <c r="J25" s="35" t="n">
        <f aca="false">I25*(1+0.04)</f>
        <v>580.337074756749</v>
      </c>
    </row>
    <row r="26" customFormat="false" ht="15" hidden="false" customHeight="false" outlineLevel="0" collapsed="false">
      <c r="A26" s="40" t="s">
        <v>260</v>
      </c>
      <c r="B26" s="41"/>
      <c r="C26" s="6" t="n">
        <v>100</v>
      </c>
      <c r="D26" s="6" t="n">
        <v>158</v>
      </c>
      <c r="E26" s="6" t="n">
        <v>200</v>
      </c>
      <c r="F26" s="6" t="n">
        <v>200</v>
      </c>
      <c r="G26" s="6" t="n">
        <v>200</v>
      </c>
      <c r="H26" s="6" t="n">
        <v>200</v>
      </c>
      <c r="I26" s="6" t="n">
        <v>200</v>
      </c>
      <c r="J26" s="6" t="n">
        <v>200</v>
      </c>
    </row>
    <row r="27" customFormat="false" ht="15" hidden="false" customHeight="false" outlineLevel="0" collapsed="false">
      <c r="A27" s="40" t="s">
        <v>261</v>
      </c>
      <c r="B27" s="41"/>
      <c r="C27" s="6" t="n">
        <v>2</v>
      </c>
      <c r="D27" s="6" t="n">
        <v>12</v>
      </c>
      <c r="E27" s="6" t="n">
        <v>12</v>
      </c>
      <c r="F27" s="6" t="n">
        <v>12</v>
      </c>
      <c r="G27" s="6" t="n">
        <v>12</v>
      </c>
      <c r="H27" s="6" t="n">
        <v>12</v>
      </c>
      <c r="I27" s="6" t="n">
        <v>12</v>
      </c>
      <c r="J27" s="6" t="n">
        <v>12</v>
      </c>
    </row>
    <row r="28" customFormat="false" ht="15" hidden="false" customHeight="false" outlineLevel="0" collapsed="false">
      <c r="A28" s="28" t="s">
        <v>262</v>
      </c>
      <c r="B28" s="42"/>
      <c r="C28" s="36" t="n">
        <f aca="false">C25*C26*C27</f>
        <v>87948</v>
      </c>
      <c r="D28" s="36" t="n">
        <f aca="false">D25*D26*D27</f>
        <v>869598.16272</v>
      </c>
      <c r="E28" s="36" t="n">
        <f aca="false">E25*E26*E27</f>
        <v>1144787.45472</v>
      </c>
      <c r="F28" s="36" t="n">
        <f aca="false">F25*F26*F27</f>
        <v>1190578.9529088</v>
      </c>
      <c r="G28" s="36" t="n">
        <f aca="false">G25*G26*G27</f>
        <v>1238202.11102515</v>
      </c>
      <c r="H28" s="36" t="n">
        <f aca="false">H25*H26*H27</f>
        <v>1287730.19546616</v>
      </c>
      <c r="I28" s="36" t="n">
        <f aca="false">I25*I26*I27</f>
        <v>1339239.4032848</v>
      </c>
      <c r="J28" s="36" t="n">
        <f aca="false">J25*J26*J27</f>
        <v>1392808.9794162</v>
      </c>
    </row>
    <row r="29" customFormat="false" ht="15" hidden="false" customHeight="false" outlineLevel="0" collapsed="false">
      <c r="A29" s="30" t="s">
        <v>34</v>
      </c>
      <c r="B29" s="43"/>
      <c r="C29" s="44" t="n">
        <f aca="false">110*1.047</f>
        <v>115.17</v>
      </c>
      <c r="D29" s="44" t="n">
        <f aca="false">C29*(1+0.043)</f>
        <v>120.12231</v>
      </c>
      <c r="E29" s="44" t="n">
        <f aca="false">D29*(1+0.04)</f>
        <v>124.9272024</v>
      </c>
      <c r="F29" s="44" t="n">
        <f aca="false">E29*(1+0.04)</f>
        <v>129.924290496</v>
      </c>
      <c r="G29" s="44" t="n">
        <f aca="false">F29*(1+0.04)</f>
        <v>135.12126211584</v>
      </c>
      <c r="H29" s="44" t="n">
        <f aca="false">G29*(1+0.04)</f>
        <v>140.526112600474</v>
      </c>
      <c r="I29" s="44" t="n">
        <f aca="false">H29*(1+0.04)</f>
        <v>146.147157104493</v>
      </c>
      <c r="J29" s="44" t="n">
        <f aca="false">I29*(1+0.04)</f>
        <v>151.993043388672</v>
      </c>
    </row>
    <row r="30" customFormat="false" ht="15" hidden="false" customHeight="false" outlineLevel="0" collapsed="false">
      <c r="A30" s="30" t="s">
        <v>263</v>
      </c>
      <c r="B30" s="43"/>
      <c r="C30" s="44" t="n">
        <f aca="false">C29*C26*C27</f>
        <v>23034</v>
      </c>
      <c r="D30" s="44" t="n">
        <f aca="false">D29*D26*D27</f>
        <v>227751.89976</v>
      </c>
      <c r="E30" s="44" t="n">
        <f aca="false">E29*E26*E27</f>
        <v>299825.28576</v>
      </c>
      <c r="F30" s="44" t="n">
        <f aca="false">F29*F26*F27</f>
        <v>311818.2971904</v>
      </c>
      <c r="G30" s="44" t="n">
        <f aca="false">G29*G26*G27</f>
        <v>324291.029078016</v>
      </c>
      <c r="H30" s="44" t="n">
        <f aca="false">H29*H26*H27</f>
        <v>337262.670241137</v>
      </c>
      <c r="I30" s="44" t="n">
        <f aca="false">I29*I26*I27</f>
        <v>350753.177050782</v>
      </c>
      <c r="J30" s="44" t="n">
        <f aca="false">J29*J26*J27</f>
        <v>364783.304132814</v>
      </c>
    </row>
    <row r="31" customFormat="false" ht="15" hidden="false" customHeight="false" outlineLevel="0" collapsed="false">
      <c r="A31" s="7" t="s">
        <v>264</v>
      </c>
      <c r="B31" s="8"/>
      <c r="C31" s="39" t="n">
        <f aca="false">C28-C30</f>
        <v>64914</v>
      </c>
      <c r="D31" s="39" t="n">
        <f aca="false">D28-D30</f>
        <v>641846.26296</v>
      </c>
      <c r="E31" s="39" t="n">
        <f aca="false">E28-E30</f>
        <v>844962.16896</v>
      </c>
      <c r="F31" s="39" t="n">
        <f aca="false">F28-F30</f>
        <v>878760.6557184</v>
      </c>
      <c r="G31" s="39" t="n">
        <f aca="false">G28-G30</f>
        <v>913911.081947136</v>
      </c>
      <c r="H31" s="39" t="n">
        <f aca="false">H28-H30</f>
        <v>950467.525225021</v>
      </c>
      <c r="I31" s="39" t="n">
        <f aca="false">I28-I30</f>
        <v>988486.226234022</v>
      </c>
      <c r="J31" s="39" t="n">
        <f aca="false">J28-J30</f>
        <v>1028025.67528338</v>
      </c>
    </row>
    <row r="32" customFormat="false" ht="15" hidden="false" customHeight="false" outlineLevel="0" collapsed="false">
      <c r="A32" s="4" t="s">
        <v>265</v>
      </c>
      <c r="B32" s="17"/>
      <c r="C32" s="12" t="n">
        <f aca="false">IF(C28=0,0,(C28-C30)/C28)</f>
        <v>0.738095238095238</v>
      </c>
      <c r="D32" s="12" t="n">
        <f aca="false">IF(D28=0,0,(D28-D30)/D28)</f>
        <v>0.738095238095238</v>
      </c>
      <c r="E32" s="12" t="n">
        <f aca="false">IF(E28=0,0,(E28-E30)/E28)</f>
        <v>0.738095238095238</v>
      </c>
      <c r="F32" s="12" t="n">
        <f aca="false">IF(F28=0,0,(F28-F30)/F28)</f>
        <v>0.738095238095238</v>
      </c>
      <c r="G32" s="12" t="n">
        <f aca="false">IF(G28=0,0,(G28-G30)/G28)</f>
        <v>0.738095238095238</v>
      </c>
      <c r="H32" s="12" t="n">
        <f aca="false">IF(H28=0,0,(H28-H30)/H28)</f>
        <v>0.738095238095238</v>
      </c>
      <c r="I32" s="12" t="n">
        <f aca="false">IF(I28=0,0,(I28-I30)/I28)</f>
        <v>0.738095238095238</v>
      </c>
      <c r="J32" s="12" t="n">
        <f aca="false">IF(J28=0,0,(J28-J30)/J28)</f>
        <v>0.738095238095238</v>
      </c>
    </row>
    <row r="34" customFormat="false" ht="15" hidden="false" customHeight="false" outlineLevel="0" collapsed="false">
      <c r="A34" s="3" t="s">
        <v>268</v>
      </c>
      <c r="B34" s="3"/>
      <c r="C34" s="3"/>
      <c r="D34" s="3"/>
      <c r="E34" s="3"/>
      <c r="F34" s="3"/>
      <c r="G34" s="3"/>
      <c r="H34" s="3"/>
      <c r="I34" s="3"/>
      <c r="J34" s="3"/>
    </row>
    <row r="35" customFormat="false" ht="15" hidden="false" customHeight="false" outlineLevel="0" collapsed="false">
      <c r="A35" s="4" t="s">
        <v>259</v>
      </c>
      <c r="B35" s="17"/>
      <c r="C35" s="35" t="n">
        <f aca="false">220*1.047</f>
        <v>230.34</v>
      </c>
      <c r="D35" s="35" t="n">
        <f aca="false">C35*(1+0.043)</f>
        <v>240.24462</v>
      </c>
      <c r="E35" s="35" t="n">
        <f aca="false">D35*(1+0.04)</f>
        <v>249.8544048</v>
      </c>
      <c r="F35" s="35" t="n">
        <f aca="false">E35*(1+0.04)</f>
        <v>259.848580992</v>
      </c>
      <c r="G35" s="35" t="n">
        <f aca="false">F35*(1+0.04)</f>
        <v>270.24252423168</v>
      </c>
      <c r="H35" s="35" t="n">
        <f aca="false">G35*(1+0.04)</f>
        <v>281.052225200947</v>
      </c>
      <c r="I35" s="35" t="n">
        <f aca="false">H35*(1+0.04)</f>
        <v>292.294314208985</v>
      </c>
      <c r="J35" s="35" t="n">
        <f aca="false">I35*(1+0.04)</f>
        <v>303.986086777345</v>
      </c>
    </row>
    <row r="36" customFormat="false" ht="15" hidden="false" customHeight="false" outlineLevel="0" collapsed="false">
      <c r="A36" s="40" t="s">
        <v>260</v>
      </c>
      <c r="B36" s="41"/>
      <c r="C36" s="6" t="n">
        <v>200</v>
      </c>
      <c r="D36" s="6" t="n">
        <v>288</v>
      </c>
      <c r="E36" s="6" t="n">
        <v>350</v>
      </c>
      <c r="F36" s="6" t="n">
        <v>350</v>
      </c>
      <c r="G36" s="6" t="n">
        <v>350</v>
      </c>
      <c r="H36" s="6" t="n">
        <v>350</v>
      </c>
      <c r="I36" s="6" t="n">
        <v>350</v>
      </c>
      <c r="J36" s="6" t="n">
        <v>350</v>
      </c>
    </row>
    <row r="37" customFormat="false" ht="15" hidden="false" customHeight="false" outlineLevel="0" collapsed="false">
      <c r="A37" s="40" t="s">
        <v>261</v>
      </c>
      <c r="B37" s="41"/>
      <c r="C37" s="6" t="n">
        <v>2</v>
      </c>
      <c r="D37" s="6" t="n">
        <v>12</v>
      </c>
      <c r="E37" s="6" t="n">
        <v>12</v>
      </c>
      <c r="F37" s="6" t="n">
        <v>12</v>
      </c>
      <c r="G37" s="6" t="n">
        <v>12</v>
      </c>
      <c r="H37" s="6" t="n">
        <v>12</v>
      </c>
      <c r="I37" s="6" t="n">
        <v>12</v>
      </c>
      <c r="J37" s="6" t="n">
        <v>12</v>
      </c>
    </row>
    <row r="38" customFormat="false" ht="15" hidden="false" customHeight="false" outlineLevel="0" collapsed="false">
      <c r="A38" s="28" t="s">
        <v>262</v>
      </c>
      <c r="B38" s="42"/>
      <c r="C38" s="36" t="n">
        <f aca="false">C35*C36*C37</f>
        <v>92136</v>
      </c>
      <c r="D38" s="36" t="n">
        <f aca="false">D35*D36*D37</f>
        <v>830285.40672</v>
      </c>
      <c r="E38" s="36" t="n">
        <f aca="false">E35*E36*E37</f>
        <v>1049388.50016</v>
      </c>
      <c r="F38" s="36" t="n">
        <f aca="false">F35*F36*F37</f>
        <v>1091364.0401664</v>
      </c>
      <c r="G38" s="36" t="n">
        <f aca="false">G35*G36*G37</f>
        <v>1135018.60177306</v>
      </c>
      <c r="H38" s="36" t="n">
        <f aca="false">H35*H36*H37</f>
        <v>1180419.34584398</v>
      </c>
      <c r="I38" s="36" t="n">
        <f aca="false">I35*I36*I37</f>
        <v>1227636.11967774</v>
      </c>
      <c r="J38" s="36" t="n">
        <f aca="false">J35*J36*J37</f>
        <v>1276741.56446485</v>
      </c>
    </row>
    <row r="39" customFormat="false" ht="15" hidden="false" customHeight="false" outlineLevel="0" collapsed="false">
      <c r="A39" s="30" t="s">
        <v>34</v>
      </c>
      <c r="B39" s="43"/>
      <c r="C39" s="44" t="n">
        <f aca="false">40*1.047</f>
        <v>41.88</v>
      </c>
      <c r="D39" s="44" t="n">
        <f aca="false">C39*(1+0.043)</f>
        <v>43.68084</v>
      </c>
      <c r="E39" s="44" t="n">
        <f aca="false">D39*(1+0.04)</f>
        <v>45.4280736</v>
      </c>
      <c r="F39" s="44" t="n">
        <f aca="false">E39*(1+0.04)</f>
        <v>47.245196544</v>
      </c>
      <c r="G39" s="44" t="n">
        <f aca="false">F39*(1+0.04)</f>
        <v>49.13500440576</v>
      </c>
      <c r="H39" s="44" t="n">
        <f aca="false">G39*(1+0.04)</f>
        <v>51.1004045819904</v>
      </c>
      <c r="I39" s="44" t="n">
        <f aca="false">H39*(1+0.04)</f>
        <v>53.14442076527</v>
      </c>
      <c r="J39" s="44" t="n">
        <f aca="false">I39*(1+0.04)</f>
        <v>55.2701975958808</v>
      </c>
    </row>
    <row r="40" customFormat="false" ht="15" hidden="false" customHeight="false" outlineLevel="0" collapsed="false">
      <c r="A40" s="30" t="s">
        <v>263</v>
      </c>
      <c r="B40" s="43"/>
      <c r="C40" s="44" t="n">
        <f aca="false">C39*C36*C37</f>
        <v>16752</v>
      </c>
      <c r="D40" s="44" t="n">
        <f aca="false">D39*D36*D37</f>
        <v>150960.98304</v>
      </c>
      <c r="E40" s="44" t="n">
        <f aca="false">E39*E36*E37</f>
        <v>190797.90912</v>
      </c>
      <c r="F40" s="44" t="n">
        <f aca="false">F39*F36*F37</f>
        <v>198429.8254848</v>
      </c>
      <c r="G40" s="44" t="n">
        <f aca="false">G39*G36*G37</f>
        <v>206367.018504192</v>
      </c>
      <c r="H40" s="44" t="n">
        <f aca="false">H39*H36*H37</f>
        <v>214621.69924436</v>
      </c>
      <c r="I40" s="44" t="n">
        <f aca="false">I39*I36*I37</f>
        <v>223206.567214134</v>
      </c>
      <c r="J40" s="44" t="n">
        <f aca="false">J39*J36*J37</f>
        <v>232134.829902699</v>
      </c>
    </row>
    <row r="41" customFormat="false" ht="15" hidden="false" customHeight="false" outlineLevel="0" collapsed="false">
      <c r="A41" s="7" t="s">
        <v>264</v>
      </c>
      <c r="B41" s="8"/>
      <c r="C41" s="39" t="n">
        <f aca="false">C38-C40</f>
        <v>75384</v>
      </c>
      <c r="D41" s="39" t="n">
        <f aca="false">D38-D40</f>
        <v>679324.42368</v>
      </c>
      <c r="E41" s="39" t="n">
        <f aca="false">E38-E40</f>
        <v>858590.59104</v>
      </c>
      <c r="F41" s="39" t="n">
        <f aca="false">F38-F40</f>
        <v>892934.2146816</v>
      </c>
      <c r="G41" s="39" t="n">
        <f aca="false">G38-G40</f>
        <v>928651.583268864</v>
      </c>
      <c r="H41" s="39" t="n">
        <f aca="false">H38-H40</f>
        <v>965797.646599619</v>
      </c>
      <c r="I41" s="39" t="n">
        <f aca="false">I38-I40</f>
        <v>1004429.5524636</v>
      </c>
      <c r="J41" s="39" t="n">
        <f aca="false">J38-J40</f>
        <v>1044606.73456215</v>
      </c>
    </row>
    <row r="42" customFormat="false" ht="15" hidden="false" customHeight="false" outlineLevel="0" collapsed="false">
      <c r="A42" s="4" t="s">
        <v>265</v>
      </c>
      <c r="B42" s="17"/>
      <c r="C42" s="12" t="n">
        <f aca="false">IF(C38=0,0,(C38-C40)/C38)</f>
        <v>0.818181818181818</v>
      </c>
      <c r="D42" s="12" t="n">
        <f aca="false">IF(D38=0,0,(D38-D40)/D38)</f>
        <v>0.818181818181818</v>
      </c>
      <c r="E42" s="12" t="n">
        <f aca="false">IF(E38=0,0,(E38-E40)/E38)</f>
        <v>0.818181818181818</v>
      </c>
      <c r="F42" s="12" t="n">
        <f aca="false">IF(F38=0,0,(F38-F40)/F38)</f>
        <v>0.818181818181818</v>
      </c>
      <c r="G42" s="12" t="n">
        <f aca="false">IF(G38=0,0,(G38-G40)/G38)</f>
        <v>0.818181818181818</v>
      </c>
      <c r="H42" s="12" t="n">
        <f aca="false">IF(H38=0,0,(H38-H40)/H38)</f>
        <v>0.818181818181818</v>
      </c>
      <c r="I42" s="12" t="n">
        <f aca="false">IF(I38=0,0,(I38-I40)/I38)</f>
        <v>0.818181818181818</v>
      </c>
      <c r="J42" s="12" t="n">
        <f aca="false">IF(J38=0,0,(J38-J40)/J38)</f>
        <v>0.818181818181818</v>
      </c>
    </row>
    <row r="44" customFormat="false" ht="15" hidden="false" customHeight="false" outlineLevel="0" collapsed="false">
      <c r="A44" s="3" t="s">
        <v>269</v>
      </c>
      <c r="B44" s="3"/>
      <c r="C44" s="3"/>
      <c r="D44" s="3"/>
      <c r="E44" s="3"/>
      <c r="F44" s="3"/>
      <c r="G44" s="3"/>
      <c r="H44" s="3"/>
      <c r="I44" s="3"/>
      <c r="J44" s="3"/>
    </row>
    <row r="45" customFormat="false" ht="15" hidden="false" customHeight="false" outlineLevel="0" collapsed="false">
      <c r="A45" s="4" t="s">
        <v>259</v>
      </c>
      <c r="B45" s="17"/>
      <c r="C45" s="35" t="n">
        <f aca="false">260*1.047</f>
        <v>272.22</v>
      </c>
      <c r="D45" s="35" t="n">
        <f aca="false">C45*(1+0.043)</f>
        <v>283.92546</v>
      </c>
      <c r="E45" s="35" t="n">
        <f aca="false">D45*(1+0.04)</f>
        <v>295.2824784</v>
      </c>
      <c r="F45" s="35" t="n">
        <f aca="false">E45*(1+0.04)</f>
        <v>307.093777536</v>
      </c>
      <c r="G45" s="35" t="n">
        <f aca="false">F45*(1+0.04)</f>
        <v>319.37752863744</v>
      </c>
      <c r="H45" s="35" t="n">
        <f aca="false">G45*(1+0.04)</f>
        <v>332.152629782938</v>
      </c>
      <c r="I45" s="35" t="n">
        <f aca="false">H45*(1+0.04)</f>
        <v>345.438734974255</v>
      </c>
      <c r="J45" s="35" t="n">
        <f aca="false">I45*(1+0.04)</f>
        <v>359.256284373225</v>
      </c>
    </row>
    <row r="46" customFormat="false" ht="15" hidden="false" customHeight="false" outlineLevel="0" collapsed="false">
      <c r="A46" s="40" t="s">
        <v>260</v>
      </c>
      <c r="B46" s="41"/>
      <c r="C46" s="6" t="n">
        <v>150</v>
      </c>
      <c r="D46" s="6" t="n">
        <v>226</v>
      </c>
      <c r="E46" s="6" t="n">
        <v>280</v>
      </c>
      <c r="F46" s="6" t="n">
        <v>280</v>
      </c>
      <c r="G46" s="6" t="n">
        <v>280</v>
      </c>
      <c r="H46" s="6" t="n">
        <v>280</v>
      </c>
      <c r="I46" s="6" t="n">
        <v>280</v>
      </c>
      <c r="J46" s="6" t="n">
        <v>280</v>
      </c>
    </row>
    <row r="47" customFormat="false" ht="15" hidden="false" customHeight="false" outlineLevel="0" collapsed="false">
      <c r="A47" s="40" t="s">
        <v>261</v>
      </c>
      <c r="B47" s="41"/>
      <c r="C47" s="6" t="n">
        <v>2</v>
      </c>
      <c r="D47" s="6" t="n">
        <v>12</v>
      </c>
      <c r="E47" s="6" t="n">
        <v>12</v>
      </c>
      <c r="F47" s="6" t="n">
        <v>12</v>
      </c>
      <c r="G47" s="6" t="n">
        <v>12</v>
      </c>
      <c r="H47" s="6" t="n">
        <v>12</v>
      </c>
      <c r="I47" s="6" t="n">
        <v>12</v>
      </c>
      <c r="J47" s="6" t="n">
        <v>12</v>
      </c>
    </row>
    <row r="48" customFormat="false" ht="15" hidden="false" customHeight="false" outlineLevel="0" collapsed="false">
      <c r="A48" s="28" t="s">
        <v>262</v>
      </c>
      <c r="B48" s="42"/>
      <c r="C48" s="36" t="n">
        <f aca="false">C45*C46*C47</f>
        <v>81666</v>
      </c>
      <c r="D48" s="36" t="n">
        <f aca="false">D45*D46*D47</f>
        <v>770005.84752</v>
      </c>
      <c r="E48" s="36" t="n">
        <f aca="false">E45*E46*E47</f>
        <v>992149.127424</v>
      </c>
      <c r="F48" s="36" t="n">
        <f aca="false">F45*F46*F47</f>
        <v>1031835.09252096</v>
      </c>
      <c r="G48" s="36" t="n">
        <f aca="false">G45*G46*G47</f>
        <v>1073108.4962218</v>
      </c>
      <c r="H48" s="36" t="n">
        <f aca="false">H45*H46*H47</f>
        <v>1116032.83607067</v>
      </c>
      <c r="I48" s="36" t="n">
        <f aca="false">I45*I46*I47</f>
        <v>1160674.1495135</v>
      </c>
      <c r="J48" s="36" t="n">
        <f aca="false">J45*J46*J47</f>
        <v>1207101.11549404</v>
      </c>
    </row>
    <row r="49" customFormat="false" ht="15" hidden="false" customHeight="false" outlineLevel="0" collapsed="false">
      <c r="A49" s="30" t="s">
        <v>34</v>
      </c>
      <c r="B49" s="43"/>
      <c r="C49" s="44" t="n">
        <f aca="false">65*1.047</f>
        <v>68.055</v>
      </c>
      <c r="D49" s="44" t="n">
        <f aca="false">C49*(1+0.043)</f>
        <v>70.981365</v>
      </c>
      <c r="E49" s="44" t="n">
        <f aca="false">D49*(1+0.04)</f>
        <v>73.8206196</v>
      </c>
      <c r="F49" s="44" t="n">
        <f aca="false">E49*(1+0.04)</f>
        <v>76.773444384</v>
      </c>
      <c r="G49" s="44" t="n">
        <f aca="false">F49*(1+0.04)</f>
        <v>79.84438215936</v>
      </c>
      <c r="H49" s="44" t="n">
        <f aca="false">G49*(1+0.04)</f>
        <v>83.0381574457344</v>
      </c>
      <c r="I49" s="44" t="n">
        <f aca="false">H49*(1+0.04)</f>
        <v>86.3596837435638</v>
      </c>
      <c r="J49" s="44" t="n">
        <f aca="false">I49*(1+0.04)</f>
        <v>89.8140710933063</v>
      </c>
    </row>
    <row r="50" customFormat="false" ht="15" hidden="false" customHeight="false" outlineLevel="0" collapsed="false">
      <c r="A50" s="30" t="s">
        <v>263</v>
      </c>
      <c r="B50" s="43"/>
      <c r="C50" s="44" t="n">
        <f aca="false">C49*C46*C47</f>
        <v>20416.5</v>
      </c>
      <c r="D50" s="44" t="n">
        <f aca="false">D49*D46*D47</f>
        <v>192501.46188</v>
      </c>
      <c r="E50" s="44" t="n">
        <f aca="false">E49*E46*E47</f>
        <v>248037.281856</v>
      </c>
      <c r="F50" s="44" t="n">
        <f aca="false">F49*F46*F47</f>
        <v>257958.77313024</v>
      </c>
      <c r="G50" s="44" t="n">
        <f aca="false">G49*G46*G47</f>
        <v>268277.12405545</v>
      </c>
      <c r="H50" s="44" t="n">
        <f aca="false">H49*H46*H47</f>
        <v>279008.209017668</v>
      </c>
      <c r="I50" s="44" t="n">
        <f aca="false">I49*I46*I47</f>
        <v>290168.537378374</v>
      </c>
      <c r="J50" s="44" t="n">
        <f aca="false">J49*J46*J47</f>
        <v>301775.278873509</v>
      </c>
    </row>
    <row r="51" customFormat="false" ht="15" hidden="false" customHeight="false" outlineLevel="0" collapsed="false">
      <c r="A51" s="7" t="s">
        <v>264</v>
      </c>
      <c r="B51" s="8"/>
      <c r="C51" s="39" t="n">
        <f aca="false">C48-C50</f>
        <v>61249.5</v>
      </c>
      <c r="D51" s="39" t="n">
        <f aca="false">D48-D50</f>
        <v>577504.38564</v>
      </c>
      <c r="E51" s="39" t="n">
        <f aca="false">E48-E50</f>
        <v>744111.845568</v>
      </c>
      <c r="F51" s="39" t="n">
        <f aca="false">F48-F50</f>
        <v>773876.31939072</v>
      </c>
      <c r="G51" s="39" t="n">
        <f aca="false">G48-G50</f>
        <v>804831.372166349</v>
      </c>
      <c r="H51" s="39" t="n">
        <f aca="false">H48-H50</f>
        <v>837024.627053003</v>
      </c>
      <c r="I51" s="39" t="n">
        <f aca="false">I48-I50</f>
        <v>870505.612135123</v>
      </c>
      <c r="J51" s="39" t="n">
        <f aca="false">J48-J50</f>
        <v>905325.836620528</v>
      </c>
    </row>
    <row r="52" customFormat="false" ht="15" hidden="false" customHeight="false" outlineLevel="0" collapsed="false">
      <c r="A52" s="4" t="s">
        <v>265</v>
      </c>
      <c r="B52" s="17"/>
      <c r="C52" s="12" t="n">
        <f aca="false">IF(C48=0,0,(C48-C50)/C48)</f>
        <v>0.75</v>
      </c>
      <c r="D52" s="12" t="n">
        <f aca="false">IF(D48=0,0,(D48-D50)/D48)</f>
        <v>0.75</v>
      </c>
      <c r="E52" s="12" t="n">
        <f aca="false">IF(E48=0,0,(E48-E50)/E48)</f>
        <v>0.75</v>
      </c>
      <c r="F52" s="12" t="n">
        <f aca="false">IF(F48=0,0,(F48-F50)/F48)</f>
        <v>0.75</v>
      </c>
      <c r="G52" s="12" t="n">
        <f aca="false">IF(G48=0,0,(G48-G50)/G48)</f>
        <v>0.75</v>
      </c>
      <c r="H52" s="12" t="n">
        <f aca="false">IF(H48=0,0,(H48-H50)/H48)</f>
        <v>0.75</v>
      </c>
      <c r="I52" s="12" t="n">
        <f aca="false">IF(I48=0,0,(I48-I50)/I48)</f>
        <v>0.75</v>
      </c>
      <c r="J52" s="12" t="n">
        <f aca="false">IF(J48=0,0,(J48-J50)/J48)</f>
        <v>0.75</v>
      </c>
    </row>
    <row r="54" customFormat="false" ht="15" hidden="false" customHeight="false" outlineLevel="0" collapsed="false">
      <c r="A54" s="3" t="s">
        <v>270</v>
      </c>
      <c r="B54" s="3"/>
      <c r="C54" s="3"/>
      <c r="D54" s="3"/>
      <c r="E54" s="3"/>
      <c r="F54" s="3"/>
      <c r="G54" s="3"/>
      <c r="H54" s="3"/>
      <c r="I54" s="3"/>
      <c r="J54" s="3"/>
    </row>
    <row r="55" customFormat="false" ht="15" hidden="false" customHeight="false" outlineLevel="0" collapsed="false">
      <c r="A55" s="4" t="s">
        <v>259</v>
      </c>
      <c r="B55" s="17"/>
      <c r="C55" s="35" t="n">
        <f aca="false">250*1.047</f>
        <v>261.75</v>
      </c>
      <c r="D55" s="35" t="n">
        <f aca="false">C55*(1+0.043)</f>
        <v>273.00525</v>
      </c>
      <c r="E55" s="35" t="n">
        <f aca="false">D55*(1+0.04)</f>
        <v>283.92546</v>
      </c>
      <c r="F55" s="35" t="n">
        <f aca="false">E55*(1+0.04)</f>
        <v>295.2824784</v>
      </c>
      <c r="G55" s="35" t="n">
        <f aca="false">F55*(1+0.04)</f>
        <v>307.093777536</v>
      </c>
      <c r="H55" s="35" t="n">
        <f aca="false">G55*(1+0.04)</f>
        <v>319.37752863744</v>
      </c>
      <c r="I55" s="35" t="n">
        <f aca="false">H55*(1+0.04)</f>
        <v>332.152629782938</v>
      </c>
      <c r="J55" s="35" t="n">
        <f aca="false">I55*(1+0.04)</f>
        <v>345.438734974255</v>
      </c>
    </row>
    <row r="56" customFormat="false" ht="15" hidden="false" customHeight="false" outlineLevel="0" collapsed="false">
      <c r="A56" s="40" t="s">
        <v>260</v>
      </c>
      <c r="B56" s="41"/>
      <c r="C56" s="6" t="n">
        <v>50</v>
      </c>
      <c r="D56" s="6" t="n">
        <v>108</v>
      </c>
      <c r="E56" s="6" t="n">
        <v>150</v>
      </c>
      <c r="F56" s="6" t="n">
        <v>150</v>
      </c>
      <c r="G56" s="6" t="n">
        <v>150</v>
      </c>
      <c r="H56" s="6" t="n">
        <v>150</v>
      </c>
      <c r="I56" s="6" t="n">
        <v>150</v>
      </c>
      <c r="J56" s="6" t="n">
        <v>150</v>
      </c>
    </row>
    <row r="57" customFormat="false" ht="15" hidden="false" customHeight="false" outlineLevel="0" collapsed="false">
      <c r="A57" s="40" t="s">
        <v>261</v>
      </c>
      <c r="B57" s="41"/>
      <c r="C57" s="6" t="n">
        <v>2</v>
      </c>
      <c r="D57" s="6" t="n">
        <v>12</v>
      </c>
      <c r="E57" s="6" t="n">
        <v>12</v>
      </c>
      <c r="F57" s="6" t="n">
        <v>12</v>
      </c>
      <c r="G57" s="6" t="n">
        <v>12</v>
      </c>
      <c r="H57" s="6" t="n">
        <v>12</v>
      </c>
      <c r="I57" s="6" t="n">
        <v>12</v>
      </c>
      <c r="J57" s="6" t="n">
        <v>12</v>
      </c>
    </row>
    <row r="58" customFormat="false" ht="15" hidden="false" customHeight="false" outlineLevel="0" collapsed="false">
      <c r="A58" s="28" t="s">
        <v>262</v>
      </c>
      <c r="B58" s="42"/>
      <c r="C58" s="36" t="n">
        <f aca="false">C55*C56*C57</f>
        <v>26175</v>
      </c>
      <c r="D58" s="36" t="n">
        <f aca="false">D55*D56*D57</f>
        <v>353814.804</v>
      </c>
      <c r="E58" s="36" t="n">
        <f aca="false">E55*E56*E57</f>
        <v>511065.828</v>
      </c>
      <c r="F58" s="36" t="n">
        <f aca="false">F55*F56*F57</f>
        <v>531508.46112</v>
      </c>
      <c r="G58" s="36" t="n">
        <f aca="false">G55*G56*G57</f>
        <v>552768.7995648</v>
      </c>
      <c r="H58" s="36" t="n">
        <f aca="false">H55*H56*H57</f>
        <v>574879.551547392</v>
      </c>
      <c r="I58" s="36" t="n">
        <f aca="false">I55*I56*I57</f>
        <v>597874.733609288</v>
      </c>
      <c r="J58" s="36" t="n">
        <f aca="false">J55*J56*J57</f>
        <v>621789.722953659</v>
      </c>
    </row>
    <row r="59" customFormat="false" ht="15" hidden="false" customHeight="false" outlineLevel="0" collapsed="false">
      <c r="A59" s="30" t="s">
        <v>34</v>
      </c>
      <c r="B59" s="43"/>
      <c r="C59" s="44" t="n">
        <f aca="false">55*1.047</f>
        <v>57.585</v>
      </c>
      <c r="D59" s="44" t="n">
        <f aca="false">C59*(1+0.043)</f>
        <v>60.061155</v>
      </c>
      <c r="E59" s="44" t="n">
        <f aca="false">D59*(1+0.04)</f>
        <v>62.4636012</v>
      </c>
      <c r="F59" s="44" t="n">
        <f aca="false">E59*(1+0.04)</f>
        <v>64.962145248</v>
      </c>
      <c r="G59" s="44" t="n">
        <f aca="false">F59*(1+0.04)</f>
        <v>67.56063105792</v>
      </c>
      <c r="H59" s="44" t="n">
        <f aca="false">G59*(1+0.04)</f>
        <v>70.2630563002368</v>
      </c>
      <c r="I59" s="44" t="n">
        <f aca="false">H59*(1+0.04)</f>
        <v>73.0735785522463</v>
      </c>
      <c r="J59" s="44" t="n">
        <f aca="false">I59*(1+0.04)</f>
        <v>75.9965216943361</v>
      </c>
    </row>
    <row r="60" customFormat="false" ht="15" hidden="false" customHeight="false" outlineLevel="0" collapsed="false">
      <c r="A60" s="30" t="s">
        <v>263</v>
      </c>
      <c r="B60" s="43"/>
      <c r="C60" s="44" t="n">
        <f aca="false">C59*C56*C57</f>
        <v>5758.5</v>
      </c>
      <c r="D60" s="44" t="n">
        <f aca="false">D59*D56*D57</f>
        <v>77839.25688</v>
      </c>
      <c r="E60" s="44" t="n">
        <f aca="false">E59*E56*E57</f>
        <v>112434.48216</v>
      </c>
      <c r="F60" s="44" t="n">
        <f aca="false">F59*F56*F57</f>
        <v>116931.8614464</v>
      </c>
      <c r="G60" s="44" t="n">
        <f aca="false">G59*G56*G57</f>
        <v>121609.135904256</v>
      </c>
      <c r="H60" s="44" t="n">
        <f aca="false">H59*H56*H57</f>
        <v>126473.501340426</v>
      </c>
      <c r="I60" s="44" t="n">
        <f aca="false">I59*I56*I57</f>
        <v>131532.441394043</v>
      </c>
      <c r="J60" s="44" t="n">
        <f aca="false">J59*J56*J57</f>
        <v>136793.739049805</v>
      </c>
    </row>
    <row r="61" customFormat="false" ht="15" hidden="false" customHeight="false" outlineLevel="0" collapsed="false">
      <c r="A61" s="7" t="s">
        <v>264</v>
      </c>
      <c r="B61" s="8"/>
      <c r="C61" s="39" t="n">
        <f aca="false">C58-C60</f>
        <v>20416.5</v>
      </c>
      <c r="D61" s="39" t="n">
        <f aca="false">D58-D60</f>
        <v>275975.54712</v>
      </c>
      <c r="E61" s="39" t="n">
        <f aca="false">E58-E60</f>
        <v>398631.34584</v>
      </c>
      <c r="F61" s="39" t="n">
        <f aca="false">F58-F60</f>
        <v>414576.5996736</v>
      </c>
      <c r="G61" s="39" t="n">
        <f aca="false">G58-G60</f>
        <v>431159.663660544</v>
      </c>
      <c r="H61" s="39" t="n">
        <f aca="false">H58-H60</f>
        <v>448406.050206966</v>
      </c>
      <c r="I61" s="39" t="n">
        <f aca="false">I58-I60</f>
        <v>466342.292215244</v>
      </c>
      <c r="J61" s="39" t="n">
        <f aca="false">J58-J60</f>
        <v>484995.983903854</v>
      </c>
    </row>
    <row r="62" customFormat="false" ht="15" hidden="false" customHeight="false" outlineLevel="0" collapsed="false">
      <c r="A62" s="4" t="s">
        <v>265</v>
      </c>
      <c r="B62" s="17"/>
      <c r="C62" s="12" t="n">
        <f aca="false">IF(C58=0,0,(C58-C60)/C58)</f>
        <v>0.78</v>
      </c>
      <c r="D62" s="12" t="n">
        <f aca="false">IF(D58=0,0,(D58-D60)/D58)</f>
        <v>0.78</v>
      </c>
      <c r="E62" s="12" t="n">
        <f aca="false">IF(E58=0,0,(E58-E60)/E58)</f>
        <v>0.78</v>
      </c>
      <c r="F62" s="12" t="n">
        <f aca="false">IF(F58=0,0,(F58-F60)/F58)</f>
        <v>0.78</v>
      </c>
      <c r="G62" s="12" t="n">
        <f aca="false">IF(G58=0,0,(G58-G60)/G58)</f>
        <v>0.78</v>
      </c>
      <c r="H62" s="12" t="n">
        <f aca="false">IF(H58=0,0,(H58-H60)/H58)</f>
        <v>0.78</v>
      </c>
      <c r="I62" s="12" t="n">
        <f aca="false">IF(I58=0,0,(I58-I60)/I58)</f>
        <v>0.78</v>
      </c>
      <c r="J62" s="12" t="n">
        <f aca="false">IF(J58=0,0,(J58-J60)/J58)</f>
        <v>0.78</v>
      </c>
    </row>
    <row r="64" customFormat="false" ht="15" hidden="false" customHeight="false" outlineLevel="0" collapsed="false">
      <c r="A64" s="3" t="s">
        <v>271</v>
      </c>
      <c r="B64" s="3"/>
      <c r="C64" s="3"/>
      <c r="D64" s="3"/>
      <c r="E64" s="3"/>
      <c r="F64" s="3"/>
      <c r="G64" s="3"/>
      <c r="H64" s="3"/>
      <c r="I64" s="3"/>
      <c r="J64" s="3"/>
    </row>
    <row r="65" customFormat="false" ht="15" hidden="false" customHeight="false" outlineLevel="0" collapsed="false">
      <c r="A65" s="4" t="s">
        <v>259</v>
      </c>
      <c r="B65" s="17"/>
      <c r="C65" s="35" t="n">
        <f aca="false">220*1.047</f>
        <v>230.34</v>
      </c>
      <c r="D65" s="35" t="n">
        <f aca="false">C65*(1+0.043)</f>
        <v>240.24462</v>
      </c>
      <c r="E65" s="35" t="n">
        <f aca="false">D65*(1+0.04)</f>
        <v>249.8544048</v>
      </c>
      <c r="F65" s="35" t="n">
        <f aca="false">E65*(1+0.04)</f>
        <v>259.848580992</v>
      </c>
      <c r="G65" s="35" t="n">
        <f aca="false">F65*(1+0.04)</f>
        <v>270.24252423168</v>
      </c>
      <c r="H65" s="35" t="n">
        <f aca="false">G65*(1+0.04)</f>
        <v>281.052225200947</v>
      </c>
      <c r="I65" s="35" t="n">
        <f aca="false">H65*(1+0.04)</f>
        <v>292.294314208985</v>
      </c>
      <c r="J65" s="35" t="n">
        <f aca="false">I65*(1+0.04)</f>
        <v>303.986086777345</v>
      </c>
    </row>
    <row r="66" customFormat="false" ht="15" hidden="false" customHeight="false" outlineLevel="0" collapsed="false">
      <c r="A66" s="40" t="s">
        <v>260</v>
      </c>
      <c r="B66" s="41"/>
      <c r="C66" s="6" t="n">
        <v>300</v>
      </c>
      <c r="D66" s="6" t="n">
        <v>475</v>
      </c>
      <c r="E66" s="6" t="n">
        <v>600</v>
      </c>
      <c r="F66" s="6" t="n">
        <v>600</v>
      </c>
      <c r="G66" s="6" t="n">
        <v>600</v>
      </c>
      <c r="H66" s="6" t="n">
        <v>600</v>
      </c>
      <c r="I66" s="6" t="n">
        <v>600</v>
      </c>
      <c r="J66" s="6" t="n">
        <v>600</v>
      </c>
    </row>
    <row r="67" customFormat="false" ht="15" hidden="false" customHeight="false" outlineLevel="0" collapsed="false">
      <c r="A67" s="40" t="s">
        <v>261</v>
      </c>
      <c r="B67" s="41"/>
      <c r="C67" s="6" t="n">
        <v>2</v>
      </c>
      <c r="D67" s="6" t="n">
        <v>12</v>
      </c>
      <c r="E67" s="6" t="n">
        <v>12</v>
      </c>
      <c r="F67" s="6" t="n">
        <v>12</v>
      </c>
      <c r="G67" s="6" t="n">
        <v>12</v>
      </c>
      <c r="H67" s="6" t="n">
        <v>12</v>
      </c>
      <c r="I67" s="6" t="n">
        <v>12</v>
      </c>
      <c r="J67" s="6" t="n">
        <v>12</v>
      </c>
    </row>
    <row r="68" customFormat="false" ht="15" hidden="false" customHeight="false" outlineLevel="0" collapsed="false">
      <c r="A68" s="28" t="s">
        <v>262</v>
      </c>
      <c r="B68" s="42"/>
      <c r="C68" s="36" t="n">
        <f aca="false">C65*C66*C67</f>
        <v>138204</v>
      </c>
      <c r="D68" s="36" t="n">
        <f aca="false">D65*D66*D67</f>
        <v>1369394.334</v>
      </c>
      <c r="E68" s="36" t="n">
        <f aca="false">E65*E66*E67</f>
        <v>1798951.71456</v>
      </c>
      <c r="F68" s="36" t="n">
        <f aca="false">F65*F66*F67</f>
        <v>1870909.7831424</v>
      </c>
      <c r="G68" s="36" t="n">
        <f aca="false">G65*G66*G67</f>
        <v>1945746.1744681</v>
      </c>
      <c r="H68" s="36" t="n">
        <f aca="false">H65*H66*H67</f>
        <v>2023576.02144682</v>
      </c>
      <c r="I68" s="36" t="n">
        <f aca="false">I65*I66*I67</f>
        <v>2104519.06230469</v>
      </c>
      <c r="J68" s="36" t="n">
        <f aca="false">J65*J66*J67</f>
        <v>2188699.82479688</v>
      </c>
    </row>
    <row r="69" customFormat="false" ht="15" hidden="false" customHeight="false" outlineLevel="0" collapsed="false">
      <c r="A69" s="30" t="s">
        <v>34</v>
      </c>
      <c r="B69" s="43"/>
      <c r="C69" s="44" t="n">
        <f aca="false">70*1.047</f>
        <v>73.29</v>
      </c>
      <c r="D69" s="44" t="n">
        <f aca="false">C69*(1+0.043)</f>
        <v>76.44147</v>
      </c>
      <c r="E69" s="44" t="n">
        <f aca="false">D69*(1+0.04)</f>
        <v>79.4991288</v>
      </c>
      <c r="F69" s="44" t="n">
        <f aca="false">E69*(1+0.04)</f>
        <v>82.679093952</v>
      </c>
      <c r="G69" s="44" t="n">
        <f aca="false">F69*(1+0.04)</f>
        <v>85.98625771008</v>
      </c>
      <c r="H69" s="44" t="n">
        <f aca="false">G69*(1+0.04)</f>
        <v>89.4257080184832</v>
      </c>
      <c r="I69" s="44" t="n">
        <f aca="false">H69*(1+0.04)</f>
        <v>93.0027363392225</v>
      </c>
      <c r="J69" s="44" t="n">
        <f aca="false">I69*(1+0.04)</f>
        <v>96.7228457927915</v>
      </c>
    </row>
    <row r="70" customFormat="false" ht="15" hidden="false" customHeight="false" outlineLevel="0" collapsed="false">
      <c r="A70" s="30" t="s">
        <v>263</v>
      </c>
      <c r="B70" s="43"/>
      <c r="C70" s="44" t="n">
        <f aca="false">C69*C66*C67</f>
        <v>43974</v>
      </c>
      <c r="D70" s="44" t="n">
        <f aca="false">D69*D66*D67</f>
        <v>435716.379</v>
      </c>
      <c r="E70" s="44" t="n">
        <f aca="false">E69*E66*E67</f>
        <v>572393.72736</v>
      </c>
      <c r="F70" s="44" t="n">
        <f aca="false">F69*F66*F67</f>
        <v>595289.4764544</v>
      </c>
      <c r="G70" s="44" t="n">
        <f aca="false">G69*G66*G67</f>
        <v>619101.055512576</v>
      </c>
      <c r="H70" s="44" t="n">
        <f aca="false">H69*H66*H67</f>
        <v>643865.097733079</v>
      </c>
      <c r="I70" s="44" t="n">
        <f aca="false">I69*I66*I67</f>
        <v>669619.701642402</v>
      </c>
      <c r="J70" s="44" t="n">
        <f aca="false">J69*J66*J67</f>
        <v>696404.489708099</v>
      </c>
    </row>
    <row r="71" customFormat="false" ht="15" hidden="false" customHeight="false" outlineLevel="0" collapsed="false">
      <c r="A71" s="7" t="s">
        <v>264</v>
      </c>
      <c r="B71" s="8"/>
      <c r="C71" s="39" t="n">
        <f aca="false">C68-C70</f>
        <v>94230</v>
      </c>
      <c r="D71" s="39" t="n">
        <f aca="false">D68-D70</f>
        <v>933677.955</v>
      </c>
      <c r="E71" s="39" t="n">
        <f aca="false">E68-E70</f>
        <v>1226557.9872</v>
      </c>
      <c r="F71" s="39" t="n">
        <f aca="false">F68-F70</f>
        <v>1275620.306688</v>
      </c>
      <c r="G71" s="39" t="n">
        <f aca="false">G68-G70</f>
        <v>1326645.11895552</v>
      </c>
      <c r="H71" s="39" t="n">
        <f aca="false">H68-H70</f>
        <v>1379710.92371374</v>
      </c>
      <c r="I71" s="39" t="n">
        <f aca="false">I68-I70</f>
        <v>1434899.36066229</v>
      </c>
      <c r="J71" s="39" t="n">
        <f aca="false">J68-J70</f>
        <v>1492295.33508878</v>
      </c>
    </row>
    <row r="72" customFormat="false" ht="15" hidden="false" customHeight="false" outlineLevel="0" collapsed="false">
      <c r="A72" s="4" t="s">
        <v>265</v>
      </c>
      <c r="B72" s="17"/>
      <c r="C72" s="12" t="n">
        <f aca="false">IF(C68=0,0,(C68-C70)/C68)</f>
        <v>0.681818181818182</v>
      </c>
      <c r="D72" s="12" t="n">
        <f aca="false">IF(D68=0,0,(D68-D70)/D68)</f>
        <v>0.681818181818182</v>
      </c>
      <c r="E72" s="12" t="n">
        <f aca="false">IF(E68=0,0,(E68-E70)/E68)</f>
        <v>0.681818181818182</v>
      </c>
      <c r="F72" s="12" t="n">
        <f aca="false">IF(F68=0,0,(F68-F70)/F68)</f>
        <v>0.681818181818182</v>
      </c>
      <c r="G72" s="12" t="n">
        <f aca="false">IF(G68=0,0,(G68-G70)/G68)</f>
        <v>0.681818181818182</v>
      </c>
      <c r="H72" s="12" t="n">
        <f aca="false">IF(H68=0,0,(H68-H70)/H68)</f>
        <v>0.681818181818182</v>
      </c>
      <c r="I72" s="12" t="n">
        <f aca="false">IF(I68=0,0,(I68-I70)/I68)</f>
        <v>0.681818181818182</v>
      </c>
      <c r="J72" s="12" t="n">
        <f aca="false">IF(J68=0,0,(J68-J70)/J68)</f>
        <v>0.681818181818182</v>
      </c>
    </row>
    <row r="74" customFormat="false" ht="15" hidden="false" customHeight="false" outlineLevel="0" collapsed="false">
      <c r="A74" s="3" t="s">
        <v>272</v>
      </c>
      <c r="B74" s="3"/>
      <c r="C74" s="3"/>
      <c r="D74" s="3"/>
      <c r="E74" s="3"/>
      <c r="F74" s="3"/>
      <c r="G74" s="3"/>
      <c r="H74" s="3"/>
      <c r="I74" s="3"/>
      <c r="J74" s="3"/>
    </row>
    <row r="75" customFormat="false" ht="15" hidden="false" customHeight="false" outlineLevel="0" collapsed="false">
      <c r="A75" s="4" t="s">
        <v>259</v>
      </c>
      <c r="B75" s="17"/>
      <c r="C75" s="35" t="n">
        <f aca="false">350*1.047</f>
        <v>366.45</v>
      </c>
      <c r="D75" s="35" t="n">
        <f aca="false">C75*(1+0.043)</f>
        <v>382.20735</v>
      </c>
      <c r="E75" s="35" t="n">
        <f aca="false">D75*(1+0.04)</f>
        <v>397.495644</v>
      </c>
      <c r="F75" s="35" t="n">
        <f aca="false">E75*(1+0.04)</f>
        <v>413.39546976</v>
      </c>
      <c r="G75" s="35" t="n">
        <f aca="false">F75*(1+0.04)</f>
        <v>429.9312885504</v>
      </c>
      <c r="H75" s="35" t="n">
        <f aca="false">G75*(1+0.04)</f>
        <v>447.128540092416</v>
      </c>
      <c r="I75" s="35" t="n">
        <f aca="false">H75*(1+0.04)</f>
        <v>465.013681696113</v>
      </c>
      <c r="J75" s="35" t="n">
        <f aca="false">I75*(1+0.04)</f>
        <v>483.614228963957</v>
      </c>
    </row>
    <row r="76" customFormat="false" ht="15" hidden="false" customHeight="false" outlineLevel="0" collapsed="false">
      <c r="A76" s="40" t="s">
        <v>260</v>
      </c>
      <c r="B76" s="41"/>
      <c r="C76" s="6" t="n">
        <v>150</v>
      </c>
      <c r="D76" s="6" t="n">
        <v>238</v>
      </c>
      <c r="E76" s="6" t="n">
        <v>300</v>
      </c>
      <c r="F76" s="6" t="n">
        <v>300</v>
      </c>
      <c r="G76" s="6" t="n">
        <v>300</v>
      </c>
      <c r="H76" s="6" t="n">
        <v>300</v>
      </c>
      <c r="I76" s="6" t="n">
        <v>300</v>
      </c>
      <c r="J76" s="6" t="n">
        <v>300</v>
      </c>
    </row>
    <row r="77" customFormat="false" ht="15" hidden="false" customHeight="false" outlineLevel="0" collapsed="false">
      <c r="A77" s="40" t="s">
        <v>261</v>
      </c>
      <c r="B77" s="41"/>
      <c r="C77" s="6" t="n">
        <v>2</v>
      </c>
      <c r="D77" s="6" t="n">
        <v>12</v>
      </c>
      <c r="E77" s="6" t="n">
        <v>12</v>
      </c>
      <c r="F77" s="6" t="n">
        <v>12</v>
      </c>
      <c r="G77" s="6" t="n">
        <v>12</v>
      </c>
      <c r="H77" s="6" t="n">
        <v>12</v>
      </c>
      <c r="I77" s="6" t="n">
        <v>12</v>
      </c>
      <c r="J77" s="6" t="n">
        <v>12</v>
      </c>
    </row>
    <row r="78" customFormat="false" ht="15" hidden="false" customHeight="false" outlineLevel="0" collapsed="false">
      <c r="A78" s="28" t="s">
        <v>262</v>
      </c>
      <c r="B78" s="42"/>
      <c r="C78" s="36" t="n">
        <f aca="false">C75*C76*C77</f>
        <v>109935</v>
      </c>
      <c r="D78" s="36" t="n">
        <f aca="false">D75*D76*D77</f>
        <v>1091584.1916</v>
      </c>
      <c r="E78" s="36" t="n">
        <f aca="false">E75*E76*E77</f>
        <v>1430984.3184</v>
      </c>
      <c r="F78" s="36" t="n">
        <f aca="false">F75*F76*F77</f>
        <v>1488223.691136</v>
      </c>
      <c r="G78" s="36" t="n">
        <f aca="false">G75*G76*G77</f>
        <v>1547752.63878144</v>
      </c>
      <c r="H78" s="36" t="n">
        <f aca="false">H75*H76*H77</f>
        <v>1609662.7443327</v>
      </c>
      <c r="I78" s="36" t="n">
        <f aca="false">I75*I76*I77</f>
        <v>1674049.25410601</v>
      </c>
      <c r="J78" s="36" t="n">
        <f aca="false">J75*J76*J77</f>
        <v>1741011.22427025</v>
      </c>
    </row>
    <row r="79" customFormat="false" ht="15" hidden="false" customHeight="false" outlineLevel="0" collapsed="false">
      <c r="A79" s="30" t="s">
        <v>34</v>
      </c>
      <c r="B79" s="43"/>
      <c r="C79" s="44" t="n">
        <f aca="false">100*1.047</f>
        <v>104.7</v>
      </c>
      <c r="D79" s="44" t="n">
        <f aca="false">C79*(1+0.043)</f>
        <v>109.2021</v>
      </c>
      <c r="E79" s="44" t="n">
        <f aca="false">D79*(1+0.04)</f>
        <v>113.570184</v>
      </c>
      <c r="F79" s="44" t="n">
        <f aca="false">E79*(1+0.04)</f>
        <v>118.11299136</v>
      </c>
      <c r="G79" s="44" t="n">
        <f aca="false">F79*(1+0.04)</f>
        <v>122.8375110144</v>
      </c>
      <c r="H79" s="44" t="n">
        <f aca="false">G79*(1+0.04)</f>
        <v>127.751011454976</v>
      </c>
      <c r="I79" s="44" t="n">
        <f aca="false">H79*(1+0.04)</f>
        <v>132.861051913175</v>
      </c>
      <c r="J79" s="44" t="n">
        <f aca="false">I79*(1+0.04)</f>
        <v>138.175493989702</v>
      </c>
    </row>
    <row r="80" customFormat="false" ht="15" hidden="false" customHeight="false" outlineLevel="0" collapsed="false">
      <c r="A80" s="30" t="s">
        <v>263</v>
      </c>
      <c r="B80" s="43"/>
      <c r="C80" s="44" t="n">
        <f aca="false">C79*C76*C77</f>
        <v>31410</v>
      </c>
      <c r="D80" s="44" t="n">
        <f aca="false">D79*D76*D77</f>
        <v>311881.1976</v>
      </c>
      <c r="E80" s="44" t="n">
        <f aca="false">E79*E76*E77</f>
        <v>408852.6624</v>
      </c>
      <c r="F80" s="44" t="n">
        <f aca="false">F79*F76*F77</f>
        <v>425206.768896</v>
      </c>
      <c r="G80" s="44" t="n">
        <f aca="false">G79*G76*G77</f>
        <v>442215.03965184</v>
      </c>
      <c r="H80" s="44" t="n">
        <f aca="false">H79*H76*H77</f>
        <v>459903.641237914</v>
      </c>
      <c r="I80" s="44" t="n">
        <f aca="false">I79*I76*I77</f>
        <v>478299.78688743</v>
      </c>
      <c r="J80" s="44" t="n">
        <f aca="false">J79*J76*J77</f>
        <v>497431.778362927</v>
      </c>
    </row>
    <row r="81" customFormat="false" ht="15" hidden="false" customHeight="false" outlineLevel="0" collapsed="false">
      <c r="A81" s="7" t="s">
        <v>264</v>
      </c>
      <c r="B81" s="8"/>
      <c r="C81" s="39" t="n">
        <f aca="false">C78-C80</f>
        <v>78525</v>
      </c>
      <c r="D81" s="39" t="n">
        <f aca="false">D78-D80</f>
        <v>779702.994</v>
      </c>
      <c r="E81" s="39" t="n">
        <f aca="false">E78-E80</f>
        <v>1022131.656</v>
      </c>
      <c r="F81" s="39" t="n">
        <f aca="false">F78-F80</f>
        <v>1063016.92224</v>
      </c>
      <c r="G81" s="39" t="n">
        <f aca="false">G78-G80</f>
        <v>1105537.5991296</v>
      </c>
      <c r="H81" s="39" t="n">
        <f aca="false">H78-H80</f>
        <v>1149759.10309478</v>
      </c>
      <c r="I81" s="39" t="n">
        <f aca="false">I78-I80</f>
        <v>1195749.46721858</v>
      </c>
      <c r="J81" s="39" t="n">
        <f aca="false">J78-J80</f>
        <v>1243579.44590732</v>
      </c>
    </row>
    <row r="82" customFormat="false" ht="15" hidden="false" customHeight="false" outlineLevel="0" collapsed="false">
      <c r="A82" s="4" t="s">
        <v>265</v>
      </c>
      <c r="B82" s="17"/>
      <c r="C82" s="12" t="n">
        <f aca="false">IF(C78=0,0,(C78-C80)/C78)</f>
        <v>0.714285714285714</v>
      </c>
      <c r="D82" s="12" t="n">
        <f aca="false">IF(D78=0,0,(D78-D80)/D78)</f>
        <v>0.714285714285714</v>
      </c>
      <c r="E82" s="12" t="n">
        <f aca="false">IF(E78=0,0,(E78-E80)/E78)</f>
        <v>0.714285714285714</v>
      </c>
      <c r="F82" s="12" t="n">
        <f aca="false">IF(F78=0,0,(F78-F80)/F78)</f>
        <v>0.714285714285714</v>
      </c>
      <c r="G82" s="12" t="n">
        <f aca="false">IF(G78=0,0,(G78-G80)/G78)</f>
        <v>0.714285714285714</v>
      </c>
      <c r="H82" s="12" t="n">
        <f aca="false">IF(H78=0,0,(H78-H80)/H78)</f>
        <v>0.714285714285714</v>
      </c>
      <c r="I82" s="12" t="n">
        <f aca="false">IF(I78=0,0,(I78-I80)/I78)</f>
        <v>0.714285714285714</v>
      </c>
      <c r="J82" s="12" t="n">
        <f aca="false">IF(J78=0,0,(J78-J80)/J78)</f>
        <v>0.714285714285714</v>
      </c>
    </row>
    <row r="84" customFormat="false" ht="15" hidden="false" customHeight="false" outlineLevel="0" collapsed="false">
      <c r="A84" s="3" t="s">
        <v>273</v>
      </c>
      <c r="B84" s="3"/>
      <c r="C84" s="3"/>
      <c r="D84" s="3"/>
      <c r="E84" s="3"/>
      <c r="F84" s="3"/>
      <c r="G84" s="3"/>
      <c r="H84" s="3"/>
      <c r="I84" s="3"/>
      <c r="J84" s="3"/>
    </row>
    <row r="85" customFormat="false" ht="15" hidden="false" customHeight="false" outlineLevel="0" collapsed="false">
      <c r="A85" s="4" t="s">
        <v>259</v>
      </c>
      <c r="B85" s="17"/>
      <c r="C85" s="35" t="n">
        <f aca="false">320*1.047</f>
        <v>335.04</v>
      </c>
      <c r="D85" s="35" t="n">
        <f aca="false">C85*(1+0.043)</f>
        <v>349.44672</v>
      </c>
      <c r="E85" s="35" t="n">
        <f aca="false">D85*(1+0.04)</f>
        <v>363.4245888</v>
      </c>
      <c r="F85" s="35" t="n">
        <f aca="false">E85*(1+0.04)</f>
        <v>377.961572352</v>
      </c>
      <c r="G85" s="35" t="n">
        <f aca="false">F85*(1+0.04)</f>
        <v>393.08003524608</v>
      </c>
      <c r="H85" s="35" t="n">
        <f aca="false">G85*(1+0.04)</f>
        <v>408.803236655923</v>
      </c>
      <c r="I85" s="35" t="n">
        <f aca="false">H85*(1+0.04)</f>
        <v>425.15536612216</v>
      </c>
      <c r="J85" s="35" t="n">
        <f aca="false">I85*(1+0.04)</f>
        <v>442.161580767047</v>
      </c>
    </row>
    <row r="86" customFormat="false" ht="15" hidden="false" customHeight="false" outlineLevel="0" collapsed="false">
      <c r="A86" s="40" t="s">
        <v>260</v>
      </c>
      <c r="B86" s="41"/>
      <c r="C86" s="6" t="n">
        <v>200</v>
      </c>
      <c r="D86" s="6" t="n">
        <v>288</v>
      </c>
      <c r="E86" s="6" t="n">
        <v>350</v>
      </c>
      <c r="F86" s="6" t="n">
        <v>350</v>
      </c>
      <c r="G86" s="6" t="n">
        <v>350</v>
      </c>
      <c r="H86" s="6" t="n">
        <v>350</v>
      </c>
      <c r="I86" s="6" t="n">
        <v>350</v>
      </c>
      <c r="J86" s="6" t="n">
        <v>350</v>
      </c>
    </row>
    <row r="87" customFormat="false" ht="15" hidden="false" customHeight="false" outlineLevel="0" collapsed="false">
      <c r="A87" s="40" t="s">
        <v>261</v>
      </c>
      <c r="B87" s="41"/>
      <c r="C87" s="6" t="n">
        <v>2</v>
      </c>
      <c r="D87" s="6" t="n">
        <v>12</v>
      </c>
      <c r="E87" s="6" t="n">
        <v>12</v>
      </c>
      <c r="F87" s="6" t="n">
        <v>12</v>
      </c>
      <c r="G87" s="6" t="n">
        <v>12</v>
      </c>
      <c r="H87" s="6" t="n">
        <v>12</v>
      </c>
      <c r="I87" s="6" t="n">
        <v>12</v>
      </c>
      <c r="J87" s="6" t="n">
        <v>12</v>
      </c>
    </row>
    <row r="88" customFormat="false" ht="15" hidden="false" customHeight="false" outlineLevel="0" collapsed="false">
      <c r="A88" s="28" t="s">
        <v>262</v>
      </c>
      <c r="B88" s="42"/>
      <c r="C88" s="36" t="n">
        <f aca="false">C85*C86*C87</f>
        <v>134016</v>
      </c>
      <c r="D88" s="36" t="n">
        <f aca="false">D85*D86*D87</f>
        <v>1207687.86432</v>
      </c>
      <c r="E88" s="36" t="n">
        <f aca="false">E85*E86*E87</f>
        <v>1526383.27296</v>
      </c>
      <c r="F88" s="36" t="n">
        <f aca="false">F85*F86*F87</f>
        <v>1587438.6038784</v>
      </c>
      <c r="G88" s="36" t="n">
        <f aca="false">G85*G86*G87</f>
        <v>1650936.14803354</v>
      </c>
      <c r="H88" s="36" t="n">
        <f aca="false">H85*H86*H87</f>
        <v>1716973.59395488</v>
      </c>
      <c r="I88" s="36" t="n">
        <f aca="false">I85*I86*I87</f>
        <v>1785652.53771307</v>
      </c>
      <c r="J88" s="36" t="n">
        <f aca="false">J85*J86*J87</f>
        <v>1857078.6392216</v>
      </c>
    </row>
    <row r="89" customFormat="false" ht="15" hidden="false" customHeight="false" outlineLevel="0" collapsed="false">
      <c r="A89" s="30" t="s">
        <v>34</v>
      </c>
      <c r="B89" s="43"/>
      <c r="C89" s="44" t="n">
        <f aca="false">95*1.047</f>
        <v>99.465</v>
      </c>
      <c r="D89" s="44" t="n">
        <f aca="false">C89*(1+0.043)</f>
        <v>103.741995</v>
      </c>
      <c r="E89" s="44" t="n">
        <f aca="false">D89*(1+0.04)</f>
        <v>107.8916748</v>
      </c>
      <c r="F89" s="44" t="n">
        <f aca="false">E89*(1+0.04)</f>
        <v>112.207341792</v>
      </c>
      <c r="G89" s="44" t="n">
        <f aca="false">F89*(1+0.04)</f>
        <v>116.69563546368</v>
      </c>
      <c r="H89" s="44" t="n">
        <f aca="false">G89*(1+0.04)</f>
        <v>121.363460882227</v>
      </c>
      <c r="I89" s="44" t="n">
        <f aca="false">H89*(1+0.04)</f>
        <v>126.217999317516</v>
      </c>
      <c r="J89" s="44" t="n">
        <f aca="false">I89*(1+0.04)</f>
        <v>131.266719290217</v>
      </c>
    </row>
    <row r="90" customFormat="false" ht="15" hidden="false" customHeight="false" outlineLevel="0" collapsed="false">
      <c r="A90" s="30" t="s">
        <v>263</v>
      </c>
      <c r="B90" s="43"/>
      <c r="C90" s="44" t="n">
        <f aca="false">C89*C86*C87</f>
        <v>39786</v>
      </c>
      <c r="D90" s="44" t="n">
        <f aca="false">D89*D86*D87</f>
        <v>358532.33472</v>
      </c>
      <c r="E90" s="44" t="n">
        <f aca="false">E89*E86*E87</f>
        <v>453145.03416</v>
      </c>
      <c r="F90" s="44" t="n">
        <f aca="false">F89*F86*F87</f>
        <v>471270.8355264</v>
      </c>
      <c r="G90" s="44" t="n">
        <f aca="false">G89*G86*G87</f>
        <v>490121.668947456</v>
      </c>
      <c r="H90" s="44" t="n">
        <f aca="false">H89*H86*H87</f>
        <v>509726.535705354</v>
      </c>
      <c r="I90" s="44" t="n">
        <f aca="false">I89*I86*I87</f>
        <v>530115.597133568</v>
      </c>
      <c r="J90" s="44" t="n">
        <f aca="false">J89*J86*J87</f>
        <v>551320.221018911</v>
      </c>
    </row>
    <row r="91" customFormat="false" ht="15" hidden="false" customHeight="false" outlineLevel="0" collapsed="false">
      <c r="A91" s="7" t="s">
        <v>264</v>
      </c>
      <c r="B91" s="8"/>
      <c r="C91" s="39" t="n">
        <f aca="false">C88-C90</f>
        <v>94230</v>
      </c>
      <c r="D91" s="39" t="n">
        <f aca="false">D88-D90</f>
        <v>849155.5296</v>
      </c>
      <c r="E91" s="39" t="n">
        <f aca="false">E88-E90</f>
        <v>1073238.2388</v>
      </c>
      <c r="F91" s="39" t="n">
        <f aca="false">F88-F90</f>
        <v>1116167.768352</v>
      </c>
      <c r="G91" s="39" t="n">
        <f aca="false">G88-G90</f>
        <v>1160814.47908608</v>
      </c>
      <c r="H91" s="39" t="n">
        <f aca="false">H88-H90</f>
        <v>1207247.05824952</v>
      </c>
      <c r="I91" s="39" t="n">
        <f aca="false">I88-I90</f>
        <v>1255536.9405795</v>
      </c>
      <c r="J91" s="39" t="n">
        <f aca="false">J88-J90</f>
        <v>1305758.41820268</v>
      </c>
    </row>
    <row r="92" customFormat="false" ht="15" hidden="false" customHeight="false" outlineLevel="0" collapsed="false">
      <c r="A92" s="4" t="s">
        <v>265</v>
      </c>
      <c r="B92" s="17"/>
      <c r="C92" s="12" t="n">
        <f aca="false">IF(C88=0,0,(C88-C90)/C88)</f>
        <v>0.703125</v>
      </c>
      <c r="D92" s="12" t="n">
        <f aca="false">IF(D88=0,0,(D88-D90)/D88)</f>
        <v>0.703125</v>
      </c>
      <c r="E92" s="12" t="n">
        <f aca="false">IF(E88=0,0,(E88-E90)/E88)</f>
        <v>0.703125</v>
      </c>
      <c r="F92" s="12" t="n">
        <f aca="false">IF(F88=0,0,(F88-F90)/F88)</f>
        <v>0.703125</v>
      </c>
      <c r="G92" s="12" t="n">
        <f aca="false">IF(G88=0,0,(G88-G90)/G88)</f>
        <v>0.703125</v>
      </c>
      <c r="H92" s="12" t="n">
        <f aca="false">IF(H88=0,0,(H88-H90)/H88)</f>
        <v>0.703125</v>
      </c>
      <c r="I92" s="12" t="n">
        <f aca="false">IF(I88=0,0,(I88-I90)/I88)</f>
        <v>0.703125</v>
      </c>
      <c r="J92" s="12" t="n">
        <f aca="false">IF(J88=0,0,(J88-J90)/J88)</f>
        <v>0.703125</v>
      </c>
    </row>
    <row r="94" customFormat="false" ht="15" hidden="false" customHeight="false" outlineLevel="0" collapsed="false">
      <c r="A94" s="3" t="s">
        <v>274</v>
      </c>
      <c r="B94" s="3"/>
      <c r="C94" s="3"/>
      <c r="D94" s="3"/>
      <c r="E94" s="3"/>
      <c r="F94" s="3"/>
      <c r="G94" s="3"/>
      <c r="H94" s="3"/>
      <c r="I94" s="3"/>
      <c r="J94" s="3"/>
    </row>
    <row r="95" customFormat="false" ht="15" hidden="false" customHeight="false" outlineLevel="0" collapsed="false">
      <c r="A95" s="4" t="s">
        <v>259</v>
      </c>
      <c r="B95" s="17"/>
      <c r="C95" s="35" t="n">
        <f aca="false">180*1.047</f>
        <v>188.46</v>
      </c>
      <c r="D95" s="35" t="n">
        <f aca="false">C95*(1+0.043)</f>
        <v>196.56378</v>
      </c>
      <c r="E95" s="35" t="n">
        <f aca="false">D95*(1+0.04)</f>
        <v>204.4263312</v>
      </c>
      <c r="F95" s="35" t="n">
        <f aca="false">E95*(1+0.04)</f>
        <v>212.603384448</v>
      </c>
      <c r="G95" s="35" t="n">
        <f aca="false">F95*(1+0.04)</f>
        <v>221.10751982592</v>
      </c>
      <c r="H95" s="35" t="n">
        <f aca="false">G95*(1+0.04)</f>
        <v>229.951820618957</v>
      </c>
      <c r="I95" s="35" t="n">
        <f aca="false">H95*(1+0.04)</f>
        <v>239.149893443715</v>
      </c>
      <c r="J95" s="35" t="n">
        <f aca="false">I95*(1+0.04)</f>
        <v>248.715889181464</v>
      </c>
    </row>
    <row r="96" customFormat="false" ht="15" hidden="false" customHeight="false" outlineLevel="0" collapsed="false">
      <c r="A96" s="40" t="s">
        <v>260</v>
      </c>
      <c r="B96" s="41"/>
      <c r="C96" s="6" t="n">
        <v>250</v>
      </c>
      <c r="D96" s="6" t="n">
        <v>396</v>
      </c>
      <c r="E96" s="6" t="n">
        <v>500</v>
      </c>
      <c r="F96" s="6" t="n">
        <v>500</v>
      </c>
      <c r="G96" s="6" t="n">
        <v>500</v>
      </c>
      <c r="H96" s="6" t="n">
        <v>500</v>
      </c>
      <c r="I96" s="6" t="n">
        <v>500</v>
      </c>
      <c r="J96" s="6" t="n">
        <v>500</v>
      </c>
    </row>
    <row r="97" customFormat="false" ht="15" hidden="false" customHeight="false" outlineLevel="0" collapsed="false">
      <c r="A97" s="40" t="s">
        <v>261</v>
      </c>
      <c r="B97" s="41"/>
      <c r="C97" s="6" t="n">
        <v>2</v>
      </c>
      <c r="D97" s="6" t="n">
        <v>12</v>
      </c>
      <c r="E97" s="6" t="n">
        <v>12</v>
      </c>
      <c r="F97" s="6" t="n">
        <v>12</v>
      </c>
      <c r="G97" s="6" t="n">
        <v>12</v>
      </c>
      <c r="H97" s="6" t="n">
        <v>12</v>
      </c>
      <c r="I97" s="6" t="n">
        <v>12</v>
      </c>
      <c r="J97" s="6" t="n">
        <v>12</v>
      </c>
    </row>
    <row r="98" customFormat="false" ht="15" hidden="false" customHeight="false" outlineLevel="0" collapsed="false">
      <c r="A98" s="28" t="s">
        <v>262</v>
      </c>
      <c r="B98" s="42"/>
      <c r="C98" s="36" t="n">
        <f aca="false">C95*C96*C97</f>
        <v>94230</v>
      </c>
      <c r="D98" s="36" t="n">
        <f aca="false">D95*D96*D97</f>
        <v>934071.08256</v>
      </c>
      <c r="E98" s="36" t="n">
        <f aca="false">E95*E96*E97</f>
        <v>1226557.9872</v>
      </c>
      <c r="F98" s="36" t="n">
        <f aca="false">F95*F96*F97</f>
        <v>1275620.306688</v>
      </c>
      <c r="G98" s="36" t="n">
        <f aca="false">G95*G96*G97</f>
        <v>1326645.11895552</v>
      </c>
      <c r="H98" s="36" t="n">
        <f aca="false">H95*H96*H97</f>
        <v>1379710.92371374</v>
      </c>
      <c r="I98" s="36" t="n">
        <f aca="false">I95*I96*I97</f>
        <v>1434899.36066229</v>
      </c>
      <c r="J98" s="36" t="n">
        <f aca="false">J95*J96*J97</f>
        <v>1492295.33508878</v>
      </c>
    </row>
    <row r="99" customFormat="false" ht="15" hidden="false" customHeight="false" outlineLevel="0" collapsed="false">
      <c r="A99" s="30" t="s">
        <v>34</v>
      </c>
      <c r="B99" s="43"/>
      <c r="C99" s="44" t="n">
        <f aca="false">50*1.047</f>
        <v>52.35</v>
      </c>
      <c r="D99" s="44" t="n">
        <f aca="false">C99*(1+0.043)</f>
        <v>54.60105</v>
      </c>
      <c r="E99" s="44" t="n">
        <f aca="false">D99*(1+0.04)</f>
        <v>56.785092</v>
      </c>
      <c r="F99" s="44" t="n">
        <f aca="false">E99*(1+0.04)</f>
        <v>59.05649568</v>
      </c>
      <c r="G99" s="44" t="n">
        <f aca="false">F99*(1+0.04)</f>
        <v>61.4187555072</v>
      </c>
      <c r="H99" s="44" t="n">
        <f aca="false">G99*(1+0.04)</f>
        <v>63.875505727488</v>
      </c>
      <c r="I99" s="44" t="n">
        <f aca="false">H99*(1+0.04)</f>
        <v>66.4305259565875</v>
      </c>
      <c r="J99" s="44" t="n">
        <f aca="false">I99*(1+0.04)</f>
        <v>69.087746994851</v>
      </c>
    </row>
    <row r="100" customFormat="false" ht="15" hidden="false" customHeight="false" outlineLevel="0" collapsed="false">
      <c r="A100" s="30" t="s">
        <v>263</v>
      </c>
      <c r="B100" s="43"/>
      <c r="C100" s="44" t="n">
        <f aca="false">C99*C96*C97</f>
        <v>26175</v>
      </c>
      <c r="D100" s="44" t="n">
        <f aca="false">D99*D96*D97</f>
        <v>259464.1896</v>
      </c>
      <c r="E100" s="44" t="n">
        <f aca="false">E99*E96*E97</f>
        <v>340710.552</v>
      </c>
      <c r="F100" s="44" t="n">
        <f aca="false">F99*F96*F97</f>
        <v>354338.97408</v>
      </c>
      <c r="G100" s="44" t="n">
        <f aca="false">G99*G96*G97</f>
        <v>368512.5330432</v>
      </c>
      <c r="H100" s="44" t="n">
        <f aca="false">H99*H96*H97</f>
        <v>383253.034364928</v>
      </c>
      <c r="I100" s="44" t="n">
        <f aca="false">I99*I96*I97</f>
        <v>398583.155739525</v>
      </c>
      <c r="J100" s="44" t="n">
        <f aca="false">J99*J96*J97</f>
        <v>414526.481969106</v>
      </c>
    </row>
    <row r="101" customFormat="false" ht="15" hidden="false" customHeight="false" outlineLevel="0" collapsed="false">
      <c r="A101" s="7" t="s">
        <v>264</v>
      </c>
      <c r="B101" s="8"/>
      <c r="C101" s="39" t="n">
        <f aca="false">C98-C100</f>
        <v>68055</v>
      </c>
      <c r="D101" s="39" t="n">
        <f aca="false">D98-D100</f>
        <v>674606.89296</v>
      </c>
      <c r="E101" s="39" t="n">
        <f aca="false">E98-E100</f>
        <v>885847.4352</v>
      </c>
      <c r="F101" s="39" t="n">
        <f aca="false">F98-F100</f>
        <v>921281.332608</v>
      </c>
      <c r="G101" s="39" t="n">
        <f aca="false">G98-G100</f>
        <v>958132.58591232</v>
      </c>
      <c r="H101" s="39" t="n">
        <f aca="false">H98-H100</f>
        <v>996457.889348812</v>
      </c>
      <c r="I101" s="39" t="n">
        <f aca="false">I98-I100</f>
        <v>1036316.20492277</v>
      </c>
      <c r="J101" s="39" t="n">
        <f aca="false">J98-J100</f>
        <v>1077768.85311968</v>
      </c>
    </row>
    <row r="102" customFormat="false" ht="15" hidden="false" customHeight="false" outlineLevel="0" collapsed="false">
      <c r="A102" s="4" t="s">
        <v>265</v>
      </c>
      <c r="B102" s="17"/>
      <c r="C102" s="12" t="n">
        <f aca="false">IF(C98=0,0,(C98-C100)/C98)</f>
        <v>0.722222222222222</v>
      </c>
      <c r="D102" s="12" t="n">
        <f aca="false">IF(D98=0,0,(D98-D100)/D98)</f>
        <v>0.722222222222222</v>
      </c>
      <c r="E102" s="12" t="n">
        <f aca="false">IF(E98=0,0,(E98-E100)/E98)</f>
        <v>0.722222222222222</v>
      </c>
      <c r="F102" s="12" t="n">
        <f aca="false">IF(F98=0,0,(F98-F100)/F98)</f>
        <v>0.722222222222222</v>
      </c>
      <c r="G102" s="12" t="n">
        <f aca="false">IF(G98=0,0,(G98-G100)/G98)</f>
        <v>0.722222222222222</v>
      </c>
      <c r="H102" s="12" t="n">
        <f aca="false">IF(H98=0,0,(H98-H100)/H98)</f>
        <v>0.722222222222222</v>
      </c>
      <c r="I102" s="12" t="n">
        <f aca="false">IF(I98=0,0,(I98-I100)/I98)</f>
        <v>0.722222222222222</v>
      </c>
      <c r="J102" s="12" t="n">
        <f aca="false">IF(J98=0,0,(J98-J100)/J98)</f>
        <v>0.722222222222222</v>
      </c>
    </row>
    <row r="104" customFormat="false" ht="15" hidden="false" customHeight="false" outlineLevel="0" collapsed="false">
      <c r="A104" s="3" t="s">
        <v>275</v>
      </c>
      <c r="B104" s="3"/>
      <c r="C104" s="3"/>
      <c r="D104" s="3"/>
      <c r="E104" s="3"/>
      <c r="F104" s="3"/>
      <c r="G104" s="3"/>
      <c r="H104" s="3"/>
      <c r="I104" s="3"/>
      <c r="J104" s="3"/>
    </row>
    <row r="105" customFormat="false" ht="15" hidden="false" customHeight="false" outlineLevel="0" collapsed="false">
      <c r="A105" s="4" t="s">
        <v>259</v>
      </c>
      <c r="B105" s="17"/>
      <c r="C105" s="35" t="n">
        <f aca="false">2000*1.047</f>
        <v>2094</v>
      </c>
      <c r="D105" s="35" t="n">
        <f aca="false">C105*(1+0.043)</f>
        <v>2184.042</v>
      </c>
      <c r="E105" s="35" t="n">
        <f aca="false">D105*(1+0.04)</f>
        <v>2271.40368</v>
      </c>
      <c r="F105" s="35" t="n">
        <f aca="false">E105*(1+0.04)</f>
        <v>2362.2598272</v>
      </c>
      <c r="G105" s="35" t="n">
        <f aca="false">F105*(1+0.04)</f>
        <v>2456.750220288</v>
      </c>
      <c r="H105" s="35" t="n">
        <f aca="false">G105*(1+0.04)</f>
        <v>2555.02022909952</v>
      </c>
      <c r="I105" s="35" t="n">
        <f aca="false">H105*(1+0.04)</f>
        <v>2657.2210382635</v>
      </c>
      <c r="J105" s="35" t="n">
        <f aca="false">I105*(1+0.04)</f>
        <v>2763.50987979404</v>
      </c>
    </row>
    <row r="106" customFormat="false" ht="15" hidden="false" customHeight="false" outlineLevel="0" collapsed="false">
      <c r="A106" s="40" t="s">
        <v>260</v>
      </c>
      <c r="B106" s="41"/>
      <c r="C106" s="6" t="n">
        <v>20</v>
      </c>
      <c r="D106" s="6" t="n">
        <v>38</v>
      </c>
      <c r="E106" s="6" t="n">
        <v>50</v>
      </c>
      <c r="F106" s="6" t="n">
        <v>50</v>
      </c>
      <c r="G106" s="6" t="n">
        <v>50</v>
      </c>
      <c r="H106" s="6" t="n">
        <v>50</v>
      </c>
      <c r="I106" s="6" t="n">
        <v>50</v>
      </c>
      <c r="J106" s="6" t="n">
        <v>50</v>
      </c>
    </row>
    <row r="107" customFormat="false" ht="15" hidden="false" customHeight="false" outlineLevel="0" collapsed="false">
      <c r="A107" s="40" t="s">
        <v>261</v>
      </c>
      <c r="B107" s="41"/>
      <c r="C107" s="6" t="n">
        <v>2</v>
      </c>
      <c r="D107" s="6" t="n">
        <v>12</v>
      </c>
      <c r="E107" s="6" t="n">
        <v>12</v>
      </c>
      <c r="F107" s="6" t="n">
        <v>12</v>
      </c>
      <c r="G107" s="6" t="n">
        <v>12</v>
      </c>
      <c r="H107" s="6" t="n">
        <v>12</v>
      </c>
      <c r="I107" s="6" t="n">
        <v>12</v>
      </c>
      <c r="J107" s="6" t="n">
        <v>12</v>
      </c>
    </row>
    <row r="108" customFormat="false" ht="15" hidden="false" customHeight="false" outlineLevel="0" collapsed="false">
      <c r="A108" s="28" t="s">
        <v>262</v>
      </c>
      <c r="B108" s="42"/>
      <c r="C108" s="36" t="n">
        <f aca="false">C105*C106*C107</f>
        <v>83760</v>
      </c>
      <c r="D108" s="36" t="n">
        <f aca="false">D105*D106*D107</f>
        <v>995923.152</v>
      </c>
      <c r="E108" s="36" t="n">
        <f aca="false">E105*E106*E107</f>
        <v>1362842.208</v>
      </c>
      <c r="F108" s="36" t="n">
        <f aca="false">F105*F106*F107</f>
        <v>1417355.89632</v>
      </c>
      <c r="G108" s="36" t="n">
        <f aca="false">G105*G106*G107</f>
        <v>1474050.1321728</v>
      </c>
      <c r="H108" s="36" t="n">
        <f aca="false">H105*H106*H107</f>
        <v>1533012.13745971</v>
      </c>
      <c r="I108" s="36" t="n">
        <f aca="false">I105*I106*I107</f>
        <v>1594332.6229581</v>
      </c>
      <c r="J108" s="36" t="n">
        <f aca="false">J105*J106*J107</f>
        <v>1658105.92787643</v>
      </c>
    </row>
    <row r="109" customFormat="false" ht="15" hidden="false" customHeight="false" outlineLevel="0" collapsed="false">
      <c r="A109" s="30" t="s">
        <v>34</v>
      </c>
      <c r="B109" s="43"/>
      <c r="C109" s="44" t="n">
        <f aca="false">650*1.047</f>
        <v>680.55</v>
      </c>
      <c r="D109" s="44" t="n">
        <f aca="false">C109*(1+0.043)</f>
        <v>709.81365</v>
      </c>
      <c r="E109" s="44" t="n">
        <f aca="false">D109*(1+0.04)</f>
        <v>738.206196</v>
      </c>
      <c r="F109" s="44" t="n">
        <f aca="false">E109*(1+0.04)</f>
        <v>767.73444384</v>
      </c>
      <c r="G109" s="44" t="n">
        <f aca="false">F109*(1+0.04)</f>
        <v>798.4438215936</v>
      </c>
      <c r="H109" s="44" t="n">
        <f aca="false">G109*(1+0.04)</f>
        <v>830.381574457344</v>
      </c>
      <c r="I109" s="44" t="n">
        <f aca="false">H109*(1+0.04)</f>
        <v>863.596837435638</v>
      </c>
      <c r="J109" s="44" t="n">
        <f aca="false">I109*(1+0.04)</f>
        <v>898.140710933064</v>
      </c>
    </row>
    <row r="110" customFormat="false" ht="15" hidden="false" customHeight="false" outlineLevel="0" collapsed="false">
      <c r="A110" s="30" t="s">
        <v>263</v>
      </c>
      <c r="B110" s="43"/>
      <c r="C110" s="44" t="n">
        <f aca="false">C109*C106*C107</f>
        <v>27222</v>
      </c>
      <c r="D110" s="44" t="n">
        <f aca="false">D109*D106*D107</f>
        <v>323675.0244</v>
      </c>
      <c r="E110" s="44" t="n">
        <f aca="false">E109*E106*E107</f>
        <v>442923.7176</v>
      </c>
      <c r="F110" s="44" t="n">
        <f aca="false">F109*F106*F107</f>
        <v>460640.666304</v>
      </c>
      <c r="G110" s="44" t="n">
        <f aca="false">G109*G106*G107</f>
        <v>479066.29295616</v>
      </c>
      <c r="H110" s="44" t="n">
        <f aca="false">H109*H106*H107</f>
        <v>498228.944674406</v>
      </c>
      <c r="I110" s="44" t="n">
        <f aca="false">I109*I106*I107</f>
        <v>518158.102461383</v>
      </c>
      <c r="J110" s="44" t="n">
        <f aca="false">J109*J106*J107</f>
        <v>538884.426559838</v>
      </c>
    </row>
    <row r="111" customFormat="false" ht="15" hidden="false" customHeight="false" outlineLevel="0" collapsed="false">
      <c r="A111" s="7" t="s">
        <v>264</v>
      </c>
      <c r="B111" s="8"/>
      <c r="C111" s="39" t="n">
        <f aca="false">C108-C110</f>
        <v>56538</v>
      </c>
      <c r="D111" s="39" t="n">
        <f aca="false">D108-D110</f>
        <v>672248.1276</v>
      </c>
      <c r="E111" s="39" t="n">
        <f aca="false">E108-E110</f>
        <v>919918.4904</v>
      </c>
      <c r="F111" s="39" t="n">
        <f aca="false">F108-F110</f>
        <v>956715.230016</v>
      </c>
      <c r="G111" s="39" t="n">
        <f aca="false">G108-G110</f>
        <v>994983.83921664</v>
      </c>
      <c r="H111" s="39" t="n">
        <f aca="false">H108-H110</f>
        <v>1034783.19278531</v>
      </c>
      <c r="I111" s="39" t="n">
        <f aca="false">I108-I110</f>
        <v>1076174.52049672</v>
      </c>
      <c r="J111" s="39" t="n">
        <f aca="false">J108-J110</f>
        <v>1119221.50131659</v>
      </c>
    </row>
    <row r="112" customFormat="false" ht="15" hidden="false" customHeight="false" outlineLevel="0" collapsed="false">
      <c r="A112" s="4" t="s">
        <v>265</v>
      </c>
      <c r="B112" s="17"/>
      <c r="C112" s="12" t="n">
        <f aca="false">IF(C108=0,0,(C108-C110)/C108)</f>
        <v>0.675</v>
      </c>
      <c r="D112" s="12" t="n">
        <f aca="false">IF(D108=0,0,(D108-D110)/D108)</f>
        <v>0.675</v>
      </c>
      <c r="E112" s="12" t="n">
        <f aca="false">IF(E108=0,0,(E108-E110)/E108)</f>
        <v>0.675</v>
      </c>
      <c r="F112" s="12" t="n">
        <f aca="false">IF(F108=0,0,(F108-F110)/F108)</f>
        <v>0.675</v>
      </c>
      <c r="G112" s="12" t="n">
        <f aca="false">IF(G108=0,0,(G108-G110)/G108)</f>
        <v>0.675</v>
      </c>
      <c r="H112" s="12" t="n">
        <f aca="false">IF(H108=0,0,(H108-H110)/H108)</f>
        <v>0.675</v>
      </c>
      <c r="I112" s="12" t="n">
        <f aca="false">IF(I108=0,0,(I108-I110)/I108)</f>
        <v>0.675</v>
      </c>
      <c r="J112" s="12" t="n">
        <f aca="false">IF(J108=0,0,(J108-J110)/J108)</f>
        <v>0.675</v>
      </c>
    </row>
    <row r="114" customFormat="false" ht="15" hidden="false" customHeight="false" outlineLevel="0" collapsed="false">
      <c r="A114" s="3" t="s">
        <v>276</v>
      </c>
      <c r="B114" s="3"/>
      <c r="C114" s="3"/>
      <c r="D114" s="3"/>
      <c r="E114" s="3"/>
      <c r="F114" s="3"/>
      <c r="G114" s="3"/>
      <c r="H114" s="3"/>
      <c r="I114" s="3"/>
      <c r="J114" s="3"/>
    </row>
    <row r="115" customFormat="false" ht="15" hidden="false" customHeight="false" outlineLevel="0" collapsed="false">
      <c r="A115" s="4" t="s">
        <v>259</v>
      </c>
      <c r="B115" s="17"/>
      <c r="C115" s="35" t="n">
        <f aca="false">1200*1.047</f>
        <v>1256.4</v>
      </c>
      <c r="D115" s="35" t="n">
        <f aca="false">C115*(1+0.043)</f>
        <v>1310.4252</v>
      </c>
      <c r="E115" s="35" t="n">
        <f aca="false">D115*(1+0.04)</f>
        <v>1362.842208</v>
      </c>
      <c r="F115" s="35" t="n">
        <f aca="false">E115*(1+0.04)</f>
        <v>1417.35589632</v>
      </c>
      <c r="G115" s="35" t="n">
        <f aca="false">F115*(1+0.04)</f>
        <v>1474.0501321728</v>
      </c>
      <c r="H115" s="35" t="n">
        <f aca="false">G115*(1+0.04)</f>
        <v>1533.01213745971</v>
      </c>
      <c r="I115" s="35" t="n">
        <f aca="false">H115*(1+0.04)</f>
        <v>1594.3326229581</v>
      </c>
      <c r="J115" s="35" t="n">
        <f aca="false">I115*(1+0.04)</f>
        <v>1658.10592787642</v>
      </c>
    </row>
    <row r="116" customFormat="false" ht="15" hidden="false" customHeight="false" outlineLevel="0" collapsed="false">
      <c r="A116" s="40" t="s">
        <v>260</v>
      </c>
      <c r="B116" s="41"/>
      <c r="C116" s="6" t="n">
        <v>30</v>
      </c>
      <c r="D116" s="6" t="n">
        <v>53</v>
      </c>
      <c r="E116" s="6" t="n">
        <v>70</v>
      </c>
      <c r="F116" s="6" t="n">
        <v>70</v>
      </c>
      <c r="G116" s="6" t="n">
        <v>70</v>
      </c>
      <c r="H116" s="6" t="n">
        <v>70</v>
      </c>
      <c r="I116" s="6" t="n">
        <v>70</v>
      </c>
      <c r="J116" s="6" t="n">
        <v>70</v>
      </c>
    </row>
    <row r="117" customFormat="false" ht="15" hidden="false" customHeight="false" outlineLevel="0" collapsed="false">
      <c r="A117" s="40" t="s">
        <v>261</v>
      </c>
      <c r="B117" s="41"/>
      <c r="C117" s="6" t="n">
        <v>2</v>
      </c>
      <c r="D117" s="6" t="n">
        <v>12</v>
      </c>
      <c r="E117" s="6" t="n">
        <v>12</v>
      </c>
      <c r="F117" s="6" t="n">
        <v>12</v>
      </c>
      <c r="G117" s="6" t="n">
        <v>12</v>
      </c>
      <c r="H117" s="6" t="n">
        <v>12</v>
      </c>
      <c r="I117" s="6" t="n">
        <v>12</v>
      </c>
      <c r="J117" s="6" t="n">
        <v>12</v>
      </c>
    </row>
    <row r="118" customFormat="false" ht="15" hidden="false" customHeight="false" outlineLevel="0" collapsed="false">
      <c r="A118" s="28" t="s">
        <v>262</v>
      </c>
      <c r="B118" s="42"/>
      <c r="C118" s="36" t="n">
        <f aca="false">C115*C116*C117</f>
        <v>75384</v>
      </c>
      <c r="D118" s="36" t="n">
        <f aca="false">D115*D116*D117</f>
        <v>833430.4272</v>
      </c>
      <c r="E118" s="36" t="n">
        <f aca="false">E115*E116*E117</f>
        <v>1144787.45472</v>
      </c>
      <c r="F118" s="36" t="n">
        <f aca="false">F115*F116*F117</f>
        <v>1190578.9529088</v>
      </c>
      <c r="G118" s="36" t="n">
        <f aca="false">G115*G116*G117</f>
        <v>1238202.11102515</v>
      </c>
      <c r="H118" s="36" t="n">
        <f aca="false">H115*H116*H117</f>
        <v>1287730.19546616</v>
      </c>
      <c r="I118" s="36" t="n">
        <f aca="false">I115*I116*I117</f>
        <v>1339239.4032848</v>
      </c>
      <c r="J118" s="36" t="n">
        <f aca="false">J115*J116*J117</f>
        <v>1392808.9794162</v>
      </c>
    </row>
    <row r="119" customFormat="false" ht="15" hidden="false" customHeight="false" outlineLevel="0" collapsed="false">
      <c r="A119" s="30" t="s">
        <v>34</v>
      </c>
      <c r="B119" s="43"/>
      <c r="C119" s="44" t="n">
        <f aca="false">420*1.047</f>
        <v>439.74</v>
      </c>
      <c r="D119" s="44" t="n">
        <f aca="false">C119*(1+0.043)</f>
        <v>458.64882</v>
      </c>
      <c r="E119" s="44" t="n">
        <f aca="false">D119*(1+0.04)</f>
        <v>476.9947728</v>
      </c>
      <c r="F119" s="44" t="n">
        <f aca="false">E119*(1+0.04)</f>
        <v>496.074563712</v>
      </c>
      <c r="G119" s="44" t="n">
        <f aca="false">F119*(1+0.04)</f>
        <v>515.91754626048</v>
      </c>
      <c r="H119" s="44" t="n">
        <f aca="false">G119*(1+0.04)</f>
        <v>536.554248110899</v>
      </c>
      <c r="I119" s="44" t="n">
        <f aca="false">H119*(1+0.04)</f>
        <v>558.016418035335</v>
      </c>
      <c r="J119" s="44" t="n">
        <f aca="false">I119*(1+0.04)</f>
        <v>580.337074756749</v>
      </c>
    </row>
    <row r="120" customFormat="false" ht="15" hidden="false" customHeight="false" outlineLevel="0" collapsed="false">
      <c r="A120" s="30" t="s">
        <v>263</v>
      </c>
      <c r="B120" s="43"/>
      <c r="C120" s="44" t="n">
        <f aca="false">C119*C116*C117</f>
        <v>26384.4</v>
      </c>
      <c r="D120" s="44" t="n">
        <f aca="false">D119*D116*D117</f>
        <v>291700.64952</v>
      </c>
      <c r="E120" s="44" t="n">
        <f aca="false">E119*E116*E117</f>
        <v>400675.609152</v>
      </c>
      <c r="F120" s="44" t="n">
        <f aca="false">F119*F116*F117</f>
        <v>416702.63351808</v>
      </c>
      <c r="G120" s="44" t="n">
        <f aca="false">G119*G116*G117</f>
        <v>433370.738858803</v>
      </c>
      <c r="H120" s="44" t="n">
        <f aca="false">H119*H116*H117</f>
        <v>450705.568413155</v>
      </c>
      <c r="I120" s="44" t="n">
        <f aca="false">I119*I116*I117</f>
        <v>468733.791149682</v>
      </c>
      <c r="J120" s="44" t="n">
        <f aca="false">J119*J116*J117</f>
        <v>487483.142795669</v>
      </c>
    </row>
    <row r="121" customFormat="false" ht="15" hidden="false" customHeight="false" outlineLevel="0" collapsed="false">
      <c r="A121" s="7" t="s">
        <v>264</v>
      </c>
      <c r="B121" s="8"/>
      <c r="C121" s="39" t="n">
        <f aca="false">C118-C120</f>
        <v>48999.6</v>
      </c>
      <c r="D121" s="39" t="n">
        <f aca="false">D118-D120</f>
        <v>541729.77768</v>
      </c>
      <c r="E121" s="39" t="n">
        <f aca="false">E118-E120</f>
        <v>744111.845568</v>
      </c>
      <c r="F121" s="39" t="n">
        <f aca="false">F118-F120</f>
        <v>773876.31939072</v>
      </c>
      <c r="G121" s="39" t="n">
        <f aca="false">G118-G120</f>
        <v>804831.372166349</v>
      </c>
      <c r="H121" s="39" t="n">
        <f aca="false">H118-H120</f>
        <v>837024.627053003</v>
      </c>
      <c r="I121" s="39" t="n">
        <f aca="false">I118-I120</f>
        <v>870505.612135123</v>
      </c>
      <c r="J121" s="39" t="n">
        <f aca="false">J118-J120</f>
        <v>905325.836620528</v>
      </c>
    </row>
    <row r="122" customFormat="false" ht="15" hidden="false" customHeight="false" outlineLevel="0" collapsed="false">
      <c r="A122" s="4" t="s">
        <v>265</v>
      </c>
      <c r="B122" s="17"/>
      <c r="C122" s="12" t="n">
        <f aca="false">IF(C118=0,0,(C118-C120)/C118)</f>
        <v>0.65</v>
      </c>
      <c r="D122" s="12" t="n">
        <f aca="false">IF(D118=0,0,(D118-D120)/D118)</f>
        <v>0.65</v>
      </c>
      <c r="E122" s="12" t="n">
        <f aca="false">IF(E118=0,0,(E118-E120)/E118)</f>
        <v>0.65</v>
      </c>
      <c r="F122" s="12" t="n">
        <f aca="false">IF(F118=0,0,(F118-F120)/F118)</f>
        <v>0.65</v>
      </c>
      <c r="G122" s="12" t="n">
        <f aca="false">IF(G118=0,0,(G118-G120)/G118)</f>
        <v>0.65</v>
      </c>
      <c r="H122" s="12" t="n">
        <f aca="false">IF(H118=0,0,(H118-H120)/H118)</f>
        <v>0.65</v>
      </c>
      <c r="I122" s="12" t="n">
        <f aca="false">IF(I118=0,0,(I118-I120)/I118)</f>
        <v>0.65</v>
      </c>
      <c r="J122" s="12" t="n">
        <f aca="false">IF(J118=0,0,(J118-J120)/J118)</f>
        <v>0.65</v>
      </c>
    </row>
    <row r="124" customFormat="false" ht="15" hidden="false" customHeight="false" outlineLevel="0" collapsed="false">
      <c r="A124" s="19" t="s">
        <v>277</v>
      </c>
      <c r="B124" s="38"/>
      <c r="C124" s="20" t="n">
        <f aca="false">C8+C18+C28+C38+C48+C58+C68+C78+C88+C98+C108+C118</f>
        <v>1580132.4</v>
      </c>
      <c r="D124" s="20" t="n">
        <f aca="false">D8+D18+D28+D38+D48+D58+D68+D78+D88+D98+D108+D118</f>
        <v>16046628.327072</v>
      </c>
      <c r="E124" s="20" t="n">
        <f aca="false">E8+E18+E28+E38+E48+E58+E68+E78+E88+E98+E108+E118</f>
        <v>21237170.127264</v>
      </c>
      <c r="F124" s="20" t="n">
        <f aca="false">F8+F18+F28+F38+F48+F58+F68+F78+F88+F98+F108+F118</f>
        <v>22086656.9323546</v>
      </c>
      <c r="G124" s="20" t="n">
        <f aca="false">G8+G18+G28+G38+G48+G58+G68+G78+G88+G98+G108+G118</f>
        <v>22970123.2096487</v>
      </c>
      <c r="H124" s="20" t="n">
        <f aca="false">H8+H18+H28+H38+H48+H58+H68+H78+H88+H98+H108+H118</f>
        <v>23888928.1380347</v>
      </c>
      <c r="I124" s="20" t="n">
        <f aca="false">I8+I18+I28+I38+I48+I58+I68+I78+I88+I98+I108+I118</f>
        <v>24844485.2635561</v>
      </c>
      <c r="J124" s="20" t="n">
        <f aca="false">J8+J18+J28+J38+J48+J58+J68+J78+J88+J98+J108+J118</f>
        <v>25838264.6740983</v>
      </c>
    </row>
    <row r="125" customFormat="false" ht="15" hidden="false" customHeight="false" outlineLevel="0" collapsed="false">
      <c r="A125" s="19" t="s">
        <v>278</v>
      </c>
      <c r="B125" s="38"/>
      <c r="C125" s="34" t="n">
        <f aca="false">C10+C20+C30+C40+C50+C60+C70+C80+C90+C100+C110+C120</f>
        <v>408539.4</v>
      </c>
      <c r="D125" s="34" t="n">
        <f aca="false">D10+D20+D30+D40+D50+D60+D70+D80+D90+D100+D110+D120</f>
        <v>4158372.28716</v>
      </c>
      <c r="E125" s="34" t="n">
        <f aca="false">E10+E20+E30+E40+E50+E60+E70+E80+E90+E100+E110+E120</f>
        <v>5507245.362528</v>
      </c>
      <c r="F125" s="34" t="n">
        <f aca="false">F10+F20+F30+F40+F50+F60+F70+F80+F90+F100+F110+F120</f>
        <v>5727535.17702912</v>
      </c>
      <c r="G125" s="34" t="n">
        <f aca="false">G10+G20+G30+G40+G50+G60+G70+G80+G90+G100+G110+G120</f>
        <v>5956636.58411029</v>
      </c>
      <c r="H125" s="34" t="n">
        <f aca="false">H10+H20+H30+H40+H50+H60+H70+H80+H90+H100+H110+H120</f>
        <v>6194902.04747469</v>
      </c>
      <c r="I125" s="34" t="n">
        <f aca="false">I10+I20+I30+I40+I50+I60+I70+I80+I90+I100+I110+I120</f>
        <v>6442698.12937368</v>
      </c>
      <c r="J125" s="34" t="n">
        <f aca="false">J10+J20+J30+J40+J50+J60+J70+J80+J90+J100+J110+J120</f>
        <v>6700406.05454863</v>
      </c>
    </row>
    <row r="126" customFormat="false" ht="15" hidden="false" customHeight="false" outlineLevel="0" collapsed="false">
      <c r="A126" s="19" t="s">
        <v>279</v>
      </c>
      <c r="B126" s="38"/>
      <c r="C126" s="36" t="n">
        <f aca="false">C124-C125</f>
        <v>1171593</v>
      </c>
      <c r="D126" s="36" t="n">
        <f aca="false">D124-D125</f>
        <v>11888256.039912</v>
      </c>
      <c r="E126" s="36" t="n">
        <f aca="false">E124-E125</f>
        <v>15729924.764736</v>
      </c>
      <c r="F126" s="36" t="n">
        <f aca="false">F124-F125</f>
        <v>16359121.7553254</v>
      </c>
      <c r="G126" s="36" t="n">
        <f aca="false">G124-G125</f>
        <v>17013486.6255385</v>
      </c>
      <c r="H126" s="36" t="n">
        <f aca="false">H124-H125</f>
        <v>17694026.09056</v>
      </c>
      <c r="I126" s="36" t="n">
        <f aca="false">I124-I125</f>
        <v>18401787.1341824</v>
      </c>
      <c r="J126" s="36" t="n">
        <f aca="false">J124-J125</f>
        <v>19137858.6195497</v>
      </c>
    </row>
    <row r="127" customFormat="false" ht="15" hidden="false" customHeight="false" outlineLevel="0" collapsed="false">
      <c r="A127" s="7" t="s">
        <v>280</v>
      </c>
      <c r="C127" s="45" t="n">
        <f aca="false">IF(C124=0,0,C126/C124)</f>
        <v>0.741452425125895</v>
      </c>
      <c r="D127" s="45" t="n">
        <f aca="false">IF(D124=0,0,D126/D124)</f>
        <v>0.740856944997942</v>
      </c>
      <c r="E127" s="45" t="n">
        <f aca="false">IF(E124=0,0,E126/E124)</f>
        <v>0.740678945004171</v>
      </c>
      <c r="F127" s="45" t="n">
        <f aca="false">IF(F124=0,0,F126/F124)</f>
        <v>0.740678945004171</v>
      </c>
      <c r="G127" s="45" t="n">
        <f aca="false">IF(G124=0,0,G126/G124)</f>
        <v>0.740678945004171</v>
      </c>
      <c r="H127" s="45" t="n">
        <f aca="false">IF(H124=0,0,H126/H124)</f>
        <v>0.740678945004171</v>
      </c>
      <c r="I127" s="45" t="n">
        <f aca="false">IF(I124=0,0,I126/I124)</f>
        <v>0.740678945004171</v>
      </c>
      <c r="J127" s="45" t="n">
        <f aca="false">IF(J124=0,0,J126/J124)</f>
        <v>0.740678945004171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0"/>
    <col collapsed="false" customWidth="true" hidden="false" outlineLevel="0" max="10" min="3" style="0" width="18"/>
  </cols>
  <sheetData>
    <row r="1" customFormat="false" ht="32.8" hidden="false" customHeight="false" outlineLevel="0" collapsed="false">
      <c r="A1" s="1" t="s">
        <v>281</v>
      </c>
    </row>
    <row r="3" customFormat="false" ht="15" hidden="false" customHeight="false" outlineLevel="0" collapsed="false">
      <c r="A3" s="26" t="s">
        <v>282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4" t="s">
        <v>283</v>
      </c>
      <c r="C4" s="35" t="n">
        <f aca="false">'P&amp;L'!C4/65</f>
        <v>24309.7292307692</v>
      </c>
      <c r="D4" s="35" t="n">
        <f aca="false">'P&amp;L'!D4/65</f>
        <v>246871.205031877</v>
      </c>
      <c r="E4" s="35" t="n">
        <f aca="false">'P&amp;L'!E4/65</f>
        <v>326725.6942656</v>
      </c>
      <c r="F4" s="35" t="n">
        <f aca="false">'P&amp;L'!F4/65</f>
        <v>339794.722036224</v>
      </c>
      <c r="G4" s="35" t="n">
        <f aca="false">'P&amp;L'!G4/65</f>
        <v>353386.510917673</v>
      </c>
      <c r="H4" s="35" t="n">
        <f aca="false">'P&amp;L'!H4/65</f>
        <v>367521.97135438</v>
      </c>
      <c r="I4" s="35" t="n">
        <f aca="false">'P&amp;L'!I4/65</f>
        <v>382222.850208555</v>
      </c>
      <c r="J4" s="35" t="n">
        <f aca="false">'P&amp;L'!J4/65</f>
        <v>397511.764216897</v>
      </c>
    </row>
    <row r="5" customFormat="false" ht="15" hidden="false" customHeight="false" outlineLevel="0" collapsed="false">
      <c r="A5" s="4" t="s">
        <v>284</v>
      </c>
      <c r="C5" s="35" t="n">
        <f aca="false">'P&amp;L'!C4/20</f>
        <v>79006.62</v>
      </c>
      <c r="D5" s="35" t="n">
        <f aca="false">'P&amp;L'!D4/20</f>
        <v>802331.4163536</v>
      </c>
      <c r="E5" s="35" t="n">
        <f aca="false">'P&amp;L'!E4/20</f>
        <v>1061858.5063632</v>
      </c>
      <c r="F5" s="35" t="n">
        <f aca="false">'P&amp;L'!F4/20</f>
        <v>1104332.84661773</v>
      </c>
      <c r="G5" s="35" t="n">
        <f aca="false">'P&amp;L'!G4/20</f>
        <v>1148506.16048244</v>
      </c>
      <c r="H5" s="35" t="n">
        <f aca="false">'P&amp;L'!H4/20</f>
        <v>1194446.40690173</v>
      </c>
      <c r="I5" s="35" t="n">
        <f aca="false">'P&amp;L'!I4/20</f>
        <v>1242224.2631778</v>
      </c>
      <c r="J5" s="35" t="n">
        <f aca="false">'P&amp;L'!J4/20</f>
        <v>1291913.23370492</v>
      </c>
    </row>
    <row r="6" customFormat="false" ht="15" hidden="false" customHeight="false" outlineLevel="0" collapsed="false">
      <c r="A6" s="4" t="s">
        <v>285</v>
      </c>
      <c r="C6" s="11" t="n">
        <v>380</v>
      </c>
      <c r="D6" s="11" t="n">
        <v>395</v>
      </c>
      <c r="E6" s="11" t="n">
        <v>411</v>
      </c>
      <c r="F6" s="11" t="n">
        <v>427</v>
      </c>
      <c r="G6" s="11" t="n">
        <v>444</v>
      </c>
      <c r="H6" s="11" t="n">
        <v>462</v>
      </c>
      <c r="I6" s="11" t="n">
        <v>480</v>
      </c>
      <c r="J6" s="11" t="n">
        <v>500</v>
      </c>
    </row>
    <row r="7" customFormat="false" ht="15" hidden="false" customHeight="false" outlineLevel="0" collapsed="false">
      <c r="A7" s="4" t="s">
        <v>286</v>
      </c>
      <c r="C7" s="46" t="n">
        <f aca="false">IF(C6=0,0,'P&amp;L'!C4/C6/60)</f>
        <v>69.3040526315789</v>
      </c>
      <c r="D7" s="46" t="n">
        <f aca="false">IF(D6=0,0,'P&amp;L'!D4/D6/360)</f>
        <v>112.845487532152</v>
      </c>
      <c r="E7" s="46" t="n">
        <f aca="false">IF(E6=0,0,'P&amp;L'!E4/E6/360)</f>
        <v>143.533185504623</v>
      </c>
      <c r="F7" s="46" t="n">
        <f aca="false">IF(F6=0,0,'P&amp;L'!F4/F6/360)</f>
        <v>143.681088552918</v>
      </c>
      <c r="G7" s="46" t="n">
        <f aca="false">IF(G6=0,0,'P&amp;L'!G4/G6/360)</f>
        <v>143.706977037342</v>
      </c>
      <c r="H7" s="46" t="n">
        <f aca="false">IF(H6=0,0,'P&amp;L'!H4/H6/360)</f>
        <v>143.632324062258</v>
      </c>
      <c r="I7" s="46" t="n">
        <f aca="false">IF(I6=0,0,'P&amp;L'!I4/I6/360)</f>
        <v>143.77595638632</v>
      </c>
      <c r="J7" s="46" t="n">
        <f aca="false">IF(J6=0,0,'P&amp;L'!J4/J6/360)</f>
        <v>143.545914856102</v>
      </c>
    </row>
    <row r="9" customFormat="false" ht="15" hidden="false" customHeight="false" outlineLevel="0" collapsed="false">
      <c r="A9" s="3" t="s">
        <v>287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15" hidden="false" customHeight="false" outlineLevel="0" collapsed="false">
      <c r="A10" s="4" t="s">
        <v>280</v>
      </c>
      <c r="C10" s="12" t="n">
        <f aca="false">IF('P&amp;L'!C4=0,0,'P&amp;L'!C6/'P&amp;L'!C4)</f>
        <v>0.741452425125895</v>
      </c>
      <c r="D10" s="12" t="n">
        <f aca="false">IF('P&amp;L'!D4=0,0,'P&amp;L'!D6/'P&amp;L'!D4)</f>
        <v>0.740856944997942</v>
      </c>
      <c r="E10" s="12" t="n">
        <f aca="false">IF('P&amp;L'!E4=0,0,'P&amp;L'!E6/'P&amp;L'!E4)</f>
        <v>0.740678945004171</v>
      </c>
      <c r="F10" s="12" t="n">
        <f aca="false">IF('P&amp;L'!F4=0,0,'P&amp;L'!F6/'P&amp;L'!F4)</f>
        <v>0.740678945004171</v>
      </c>
      <c r="G10" s="12" t="n">
        <f aca="false">IF('P&amp;L'!G4=0,0,'P&amp;L'!G6/'P&amp;L'!G4)</f>
        <v>0.740678945004171</v>
      </c>
      <c r="H10" s="12" t="n">
        <f aca="false">IF('P&amp;L'!H4=0,0,'P&amp;L'!H6/'P&amp;L'!H4)</f>
        <v>0.740678945004171</v>
      </c>
      <c r="I10" s="12" t="n">
        <f aca="false">IF('P&amp;L'!I4=0,0,'P&amp;L'!I6/'P&amp;L'!I4)</f>
        <v>0.740678945004171</v>
      </c>
      <c r="J10" s="12" t="n">
        <f aca="false">IF('P&amp;L'!J4=0,0,'P&amp;L'!J6/'P&amp;L'!J4)</f>
        <v>0.740678945004171</v>
      </c>
    </row>
    <row r="11" customFormat="false" ht="15" hidden="false" customHeight="false" outlineLevel="0" collapsed="false">
      <c r="A11" s="4" t="s">
        <v>288</v>
      </c>
      <c r="C11" s="12" t="n">
        <f aca="false">IF('P&amp;L'!C4=0,0,'P&amp;L'!C16/'P&amp;L'!C4)</f>
        <v>-2.17191546733679</v>
      </c>
      <c r="D11" s="12" t="n">
        <f aca="false">IF('P&amp;L'!D4=0,0,'P&amp;L'!D16/'P&amp;L'!D4)</f>
        <v>-1.08565946721013</v>
      </c>
      <c r="E11" s="12" t="n">
        <f aca="false">IF('P&amp;L'!E4=0,0,'P&amp;L'!E16/'P&amp;L'!E4)</f>
        <v>-0.717411211755774</v>
      </c>
      <c r="F11" s="12" t="n">
        <f aca="false">IF('P&amp;L'!F4=0,0,'P&amp;L'!F16/'P&amp;L'!F4)</f>
        <v>-0.723349515755411</v>
      </c>
      <c r="G11" s="12" t="n">
        <f aca="false">IF('P&amp;L'!G4=0,0,'P&amp;L'!G16/'P&amp;L'!G4)</f>
        <v>-0.729322577051937</v>
      </c>
      <c r="H11" s="12" t="n">
        <f aca="false">IF('P&amp;L'!H4=0,0,'P&amp;L'!H16/'P&amp;L'!H4)</f>
        <v>-0.730545579634187</v>
      </c>
      <c r="I11" s="12" t="n">
        <f aca="false">IF('P&amp;L'!I4=0,0,'P&amp;L'!I16/'P&amp;L'!I4)</f>
        <v>-0.731781322452536</v>
      </c>
      <c r="J11" s="12" t="n">
        <f aca="false">IF('P&amp;L'!J4=0,0,'P&amp;L'!J16/'P&amp;L'!J4)</f>
        <v>-0.733026299844235</v>
      </c>
    </row>
    <row r="12" customFormat="false" ht="15" hidden="false" customHeight="false" outlineLevel="0" collapsed="false">
      <c r="A12" s="4" t="s">
        <v>289</v>
      </c>
      <c r="C12" s="12" t="n">
        <f aca="false">IF('P&amp;L'!C4=0,0,'P&amp;L'!C24/'P&amp;L'!C4)</f>
        <v>-2.17191546733679</v>
      </c>
      <c r="D12" s="12" t="n">
        <f aca="false">IF('P&amp;L'!D4=0,0,'P&amp;L'!D24/'P&amp;L'!D4)</f>
        <v>-1.13457940129221</v>
      </c>
      <c r="E12" s="12" t="n">
        <f aca="false">IF('P&amp;L'!E4=0,0,'P&amp;L'!E24/'P&amp;L'!E4)</f>
        <v>-0.791338198759775</v>
      </c>
      <c r="F12" s="12" t="n">
        <f aca="false">IF('P&amp;L'!F4=0,0,'P&amp;L'!F24/'P&amp;L'!F4)</f>
        <v>-0.794433157105411</v>
      </c>
      <c r="G12" s="12" t="n">
        <f aca="false">IF('P&amp;L'!G4=0,0,'P&amp;L'!G24/'P&amp;L'!G4)</f>
        <v>-0.797672232196169</v>
      </c>
      <c r="H12" s="12" t="n">
        <f aca="false">IF('P&amp;L'!H4=0,0,'P&amp;L'!H24/'P&amp;L'!H4)</f>
        <v>-0.796266401888256</v>
      </c>
      <c r="I12" s="12" t="n">
        <f aca="false">IF('P&amp;L'!I4=0,0,'P&amp;L'!I24/'P&amp;L'!I4)</f>
        <v>-0.794974420773756</v>
      </c>
      <c r="J12" s="12" t="n">
        <f aca="false">IF('P&amp;L'!J4=0,0,'P&amp;L'!J24/'P&amp;L'!J4)</f>
        <v>-0.79378889438387</v>
      </c>
    </row>
    <row r="13" customFormat="false" ht="15" hidden="false" customHeight="false" outlineLevel="0" collapsed="false">
      <c r="A13" s="4" t="s">
        <v>290</v>
      </c>
      <c r="C13" s="12" t="n">
        <f aca="false">'Cash Flow'!C22/15100000</f>
        <v>-0.148404900662252</v>
      </c>
      <c r="D13" s="12" t="n">
        <f aca="false">'Cash Flow'!D22/15100000</f>
        <v>-1.61191264636344</v>
      </c>
      <c r="E13" s="12" t="n">
        <f aca="false">'Cash Flow'!E22/15100000</f>
        <v>-2.75093807386437</v>
      </c>
      <c r="F13" s="12" t="n">
        <f aca="false">'Cash Flow'!F22/15100000</f>
        <v>-3.92381043126004</v>
      </c>
      <c r="G13" s="12" t="n">
        <f aca="false">'Cash Flow'!G22/15100000</f>
        <v>-5.15275940175418</v>
      </c>
      <c r="H13" s="12" t="n">
        <f aca="false">'Cash Flow'!H22/15100000</f>
        <v>-6.34163031920054</v>
      </c>
      <c r="I13" s="12" t="n">
        <f aca="false">'Cash Flow'!I22/15100000</f>
        <v>-7.56551974183746</v>
      </c>
      <c r="J13" s="12" t="n">
        <f aca="false">'Cash Flow'!J22/15100000</f>
        <v>-8.84632289074146</v>
      </c>
    </row>
    <row r="15" customFormat="false" ht="15" hidden="false" customHeight="false" outlineLevel="0" collapsed="false">
      <c r="A15" s="3" t="s">
        <v>291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15" hidden="false" customHeight="false" outlineLevel="0" collapsed="false">
      <c r="A16" s="47" t="s">
        <v>292</v>
      </c>
      <c r="C16" s="48" t="n">
        <v>15100000</v>
      </c>
    </row>
    <row r="17" customFormat="false" ht="15" hidden="false" customHeight="false" outlineLevel="0" collapsed="false">
      <c r="A17" s="4" t="s">
        <v>293</v>
      </c>
      <c r="C17" s="11" t="n">
        <v>10000000</v>
      </c>
    </row>
    <row r="18" customFormat="false" ht="15" hidden="false" customHeight="false" outlineLevel="0" collapsed="false">
      <c r="A18" s="4" t="s">
        <v>294</v>
      </c>
      <c r="C18" s="11" t="n">
        <v>5100000</v>
      </c>
    </row>
    <row r="19" customFormat="false" ht="15" hidden="false" customHeight="false" outlineLevel="0" collapsed="false">
      <c r="A19" s="19" t="s">
        <v>295</v>
      </c>
      <c r="C19" s="49" t="n">
        <v>0.215</v>
      </c>
    </row>
    <row r="20" customFormat="false" ht="15" hidden="false" customHeight="false" outlineLevel="0" collapsed="false">
      <c r="A20" s="19" t="s">
        <v>296</v>
      </c>
      <c r="C20" s="50" t="n">
        <v>6</v>
      </c>
    </row>
    <row r="21" customFormat="false" ht="15" hidden="false" customHeight="false" outlineLevel="0" collapsed="false">
      <c r="A21" s="19" t="s">
        <v>297</v>
      </c>
      <c r="C21" s="51" t="n">
        <v>2028</v>
      </c>
    </row>
    <row r="22" customFormat="false" ht="15" hidden="false" customHeight="false" outlineLevel="0" collapsed="false">
      <c r="A22" s="4" t="s">
        <v>298</v>
      </c>
      <c r="J22" s="11" t="n">
        <v>8900000</v>
      </c>
    </row>
    <row r="24" customFormat="false" ht="15" hidden="false" customHeight="false" outlineLevel="0" collapsed="false">
      <c r="A24" s="3" t="s">
        <v>299</v>
      </c>
      <c r="B24" s="3"/>
      <c r="C24" s="3"/>
      <c r="D24" s="3"/>
      <c r="E24" s="3"/>
      <c r="F24" s="3"/>
      <c r="G24" s="3"/>
      <c r="H24" s="3"/>
      <c r="I24" s="3"/>
      <c r="J24" s="3"/>
    </row>
    <row r="25" customFormat="false" ht="15" hidden="false" customHeight="false" outlineLevel="0" collapsed="false">
      <c r="A25" s="4" t="s">
        <v>300</v>
      </c>
      <c r="C25" s="12" t="n">
        <f aca="false">IF('P&amp;L'!C4=0,0,ФОТ!C78/'P&amp;L'!C4)</f>
        <v>2.00200945186619</v>
      </c>
      <c r="D25" s="12" t="n">
        <f aca="false">IF('P&amp;L'!D4=0,0,ФОТ!D78/'P&amp;L'!D4)</f>
        <v>1.24198501976748</v>
      </c>
      <c r="E25" s="12" t="n">
        <f aca="false">IF('P&amp;L'!E4=0,0,ФОТ!E78/'P&amp;L'!E4)</f>
        <v>0.985361260214943</v>
      </c>
      <c r="F25" s="12" t="n">
        <f aca="false">IF('P&amp;L'!F4=0,0,ФОТ!F78/'P&amp;L'!F4)</f>
        <v>0.990101599303863</v>
      </c>
      <c r="G25" s="12" t="n">
        <f aca="false">IF('P&amp;L'!G4=0,0,ФОТ!G78/'P&amp;L'!G4)</f>
        <v>0.994865106792322</v>
      </c>
      <c r="H25" s="12" t="n">
        <f aca="false">IF('P&amp;L'!H4=0,0,ФОТ!H78/'P&amp;L'!H4)</f>
        <v>0.99486694449721</v>
      </c>
      <c r="I25" s="12" t="n">
        <f aca="false">IF('P&amp;L'!I4=0,0,ФОТ!I78/'P&amp;L'!I4)</f>
        <v>0.994869813312533</v>
      </c>
      <c r="J25" s="12" t="n">
        <f aca="false">IF('P&amp;L'!J4=0,0,ФОТ!J78/'P&amp;L'!J4)</f>
        <v>0.994869953235242</v>
      </c>
    </row>
    <row r="26" customFormat="false" ht="15" hidden="false" customHeight="false" outlineLevel="0" collapsed="false">
      <c r="A26" s="4" t="s">
        <v>301</v>
      </c>
      <c r="C26" s="12" t="n">
        <f aca="false">IF('P&amp;L'!C4=0,0,Выручка!C125/'P&amp;L'!C4)</f>
        <v>0.258547574874105</v>
      </c>
      <c r="D26" s="12" t="n">
        <f aca="false">IF('P&amp;L'!D4=0,0,Выручка!D125/'P&amp;L'!D4)</f>
        <v>0.259143055002058</v>
      </c>
      <c r="E26" s="12" t="n">
        <f aca="false">IF('P&amp;L'!E4=0,0,Выручка!E125/'P&amp;L'!E4)</f>
        <v>0.259321054995829</v>
      </c>
      <c r="F26" s="12" t="n">
        <f aca="false">IF('P&amp;L'!F4=0,0,Выручка!F125/'P&amp;L'!F4)</f>
        <v>0.259321054995829</v>
      </c>
      <c r="G26" s="12" t="n">
        <f aca="false">IF('P&amp;L'!G4=0,0,Выручка!G125/'P&amp;L'!G4)</f>
        <v>0.259321054995829</v>
      </c>
      <c r="H26" s="12" t="n">
        <f aca="false">IF('P&amp;L'!H4=0,0,Выручка!H125/'P&amp;L'!H4)</f>
        <v>0.259321054995829</v>
      </c>
      <c r="I26" s="12" t="n">
        <f aca="false">IF('P&amp;L'!I4=0,0,Выручка!I125/'P&amp;L'!I4)</f>
        <v>0.259321054995829</v>
      </c>
      <c r="J26" s="12" t="n">
        <f aca="false">IF('P&amp;L'!J4=0,0,Выручка!J125/'P&amp;L'!J4)</f>
        <v>0.259321054995829</v>
      </c>
    </row>
    <row r="27" customFormat="false" ht="15" hidden="false" customHeight="false" outlineLevel="0" collapsed="false">
      <c r="A27" s="4" t="s">
        <v>302</v>
      </c>
      <c r="C27" s="12" t="n">
        <f aca="false">IF('P&amp;L'!C4=0,0,OPEX!C19/'P&amp;L'!C4)</f>
        <v>0.854358786643448</v>
      </c>
      <c r="D27" s="12" t="n">
        <f aca="false">IF('P&amp;L'!D4=0,0,OPEX!D19/'P&amp;L'!D4)</f>
        <v>0.527531380889447</v>
      </c>
      <c r="E27" s="12" t="n">
        <f aca="false">IF('P&amp;L'!E4=0,0,OPEX!E19/'P&amp;L'!E4)</f>
        <v>0.415728882289527</v>
      </c>
      <c r="F27" s="12" t="n">
        <f aca="false">IF('P&amp;L'!F4=0,0,OPEX!F19/'P&amp;L'!F4)</f>
        <v>0.41692688161016</v>
      </c>
      <c r="G27" s="12" t="n">
        <f aca="false">IF('P&amp;L'!G4=0,0,OPEX!G19/'P&amp;L'!G4)</f>
        <v>0.418136416262909</v>
      </c>
      <c r="H27" s="12" t="n">
        <f aca="false">IF('P&amp;L'!H4=0,0,OPEX!H19/'P&amp;L'!H4)</f>
        <v>0.419357576117024</v>
      </c>
      <c r="I27" s="12" t="n">
        <f aca="false">IF('P&amp;L'!I4=0,0,OPEX!I19/'P&amp;L'!I4)</f>
        <v>0.42059048071034</v>
      </c>
      <c r="J27" s="12" t="n">
        <f aca="false">IF('P&amp;L'!J4=0,0,OPEX!J19/'P&amp;L'!J4)</f>
        <v>0.421835294957956</v>
      </c>
    </row>
    <row r="28" customFormat="false" ht="15" hidden="false" customHeight="false" outlineLevel="0" collapsed="false">
      <c r="A28" s="4" t="s">
        <v>303</v>
      </c>
      <c r="C28" s="12" t="n">
        <f aca="false">IF('P&amp;L'!C4=0,0,(OPEX!C27-Выручка!C125)/'P&amp;L'!C4)</f>
        <v>0.0569996539530485</v>
      </c>
      <c r="D28" s="12" t="n">
        <f aca="false">IF('P&amp;L'!D4=0,0,(OPEX!D27-Выручка!D125)/'P&amp;L'!D4)</f>
        <v>0.0570000115511429</v>
      </c>
      <c r="E28" s="12" t="n">
        <f aca="false">IF('P&amp;L'!E4=0,0,(OPEX!E27-Выручка!E125)/'P&amp;L'!E4)</f>
        <v>0.0570000142554752</v>
      </c>
      <c r="F28" s="12" t="n">
        <f aca="false">IF('P&amp;L'!F4=0,0,(OPEX!F27-Выручка!F125)/'P&amp;L'!F4)</f>
        <v>0.0569999798455596</v>
      </c>
      <c r="G28" s="12" t="n">
        <f aca="false">IF('P&amp;L'!G4=0,0,(OPEX!G27-Выручка!G125)/'P&amp;L'!G4)</f>
        <v>0.056999999000877</v>
      </c>
      <c r="H28" s="12" t="n">
        <f aca="false">IF('P&amp;L'!H4=0,0,(OPEX!H27-Выручка!H125)/'P&amp;L'!H4)</f>
        <v>0.0570000040241246</v>
      </c>
      <c r="I28" s="12" t="n">
        <f aca="false">IF('P&amp;L'!I4=0,0,(OPEX!I27-Выручка!I125)/'P&amp;L'!I4)</f>
        <v>0.0569999734338349</v>
      </c>
      <c r="J28" s="12" t="n">
        <f aca="false">IF('P&amp;L'!J4=0,0,(OPEX!J27-Выручка!J125)/'P&amp;L'!J4)</f>
        <v>0.0569999966552086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4"/>
    <col collapsed="false" customWidth="true" hidden="false" outlineLevel="0" max="10" min="3" style="0" width="18"/>
  </cols>
  <sheetData>
    <row r="1" customFormat="false" ht="32.8" hidden="false" customHeight="false" outlineLevel="0" collapsed="false">
      <c r="A1" s="1" t="s">
        <v>304</v>
      </c>
    </row>
    <row r="3" customFormat="false" ht="15" hidden="false" customHeight="false" outlineLevel="0" collapsed="false">
      <c r="A3" s="26" t="s">
        <v>78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3" t="s">
        <v>305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15" hidden="false" customHeight="false" outlineLevel="0" collapsed="false">
      <c r="A5" s="40" t="s">
        <v>306</v>
      </c>
      <c r="C5" s="6" t="n">
        <v>1</v>
      </c>
      <c r="D5" s="6" t="n">
        <v>1</v>
      </c>
      <c r="E5" s="6" t="n">
        <v>1</v>
      </c>
      <c r="F5" s="6" t="n">
        <v>1</v>
      </c>
      <c r="G5" s="6" t="n">
        <v>1</v>
      </c>
      <c r="H5" s="6" t="n">
        <v>1</v>
      </c>
      <c r="I5" s="6" t="n">
        <v>1</v>
      </c>
      <c r="J5" s="6" t="n">
        <v>1</v>
      </c>
    </row>
    <row r="6" customFormat="false" ht="15" hidden="false" customHeight="false" outlineLevel="0" collapsed="false">
      <c r="A6" s="40" t="s">
        <v>307</v>
      </c>
      <c r="C6" s="11" t="n">
        <v>80000</v>
      </c>
      <c r="D6" s="35" t="n">
        <f aca="false">ROUND(C6*(1+0.05),0)</f>
        <v>84000</v>
      </c>
      <c r="E6" s="35" t="n">
        <f aca="false">ROUND(D6*(1+0.05),0)</f>
        <v>88200</v>
      </c>
      <c r="F6" s="35" t="n">
        <f aca="false">ROUND(E6*(1+0.045),0)</f>
        <v>92169</v>
      </c>
      <c r="G6" s="35" t="n">
        <f aca="false">ROUND(F6*(1+0.045),0)</f>
        <v>96317</v>
      </c>
      <c r="H6" s="35" t="n">
        <f aca="false">ROUND(G6*(1+0.04),0)</f>
        <v>100170</v>
      </c>
      <c r="I6" s="35" t="n">
        <f aca="false">ROUND(H6*(1+0.04),0)</f>
        <v>104177</v>
      </c>
      <c r="J6" s="35" t="n">
        <f aca="false">ROUND(I6*(1+0.04),0)</f>
        <v>108344</v>
      </c>
    </row>
    <row r="7" customFormat="false" ht="15" hidden="false" customHeight="false" outlineLevel="0" collapsed="false">
      <c r="A7" s="40" t="s">
        <v>308</v>
      </c>
      <c r="C7" s="16" t="n">
        <v>2</v>
      </c>
      <c r="D7" s="16" t="n">
        <v>2</v>
      </c>
      <c r="E7" s="16" t="n">
        <v>2</v>
      </c>
      <c r="F7" s="16" t="n">
        <v>2</v>
      </c>
      <c r="G7" s="16" t="n">
        <v>2</v>
      </c>
      <c r="H7" s="16" t="n">
        <v>2</v>
      </c>
      <c r="I7" s="16" t="n">
        <v>2</v>
      </c>
      <c r="J7" s="16" t="n">
        <v>2</v>
      </c>
    </row>
    <row r="8" customFormat="false" ht="15" hidden="false" customHeight="false" outlineLevel="0" collapsed="false">
      <c r="A8" s="4" t="s">
        <v>309</v>
      </c>
      <c r="C8" s="35" t="n">
        <f aca="false">C6*C7</f>
        <v>160000</v>
      </c>
      <c r="D8" s="35" t="n">
        <f aca="false">D6*D7</f>
        <v>168000</v>
      </c>
      <c r="E8" s="35" t="n">
        <f aca="false">E6*E7</f>
        <v>176400</v>
      </c>
      <c r="F8" s="35" t="n">
        <f aca="false">F6*F7</f>
        <v>184338</v>
      </c>
      <c r="G8" s="35" t="n">
        <f aca="false">G6*G7</f>
        <v>192634</v>
      </c>
      <c r="H8" s="35" t="n">
        <f aca="false">H6*H7</f>
        <v>200340</v>
      </c>
      <c r="I8" s="35" t="n">
        <f aca="false">I6*I7</f>
        <v>208354</v>
      </c>
      <c r="J8" s="35" t="n">
        <f aca="false">J6*J7</f>
        <v>216688</v>
      </c>
    </row>
    <row r="9" customFormat="false" ht="15" hidden="false" customHeight="false" outlineLevel="0" collapsed="false">
      <c r="A9" s="40" t="s">
        <v>261</v>
      </c>
      <c r="C9" s="6" t="n">
        <v>2</v>
      </c>
      <c r="D9" s="6" t="n">
        <v>12</v>
      </c>
      <c r="E9" s="6" t="n">
        <v>12</v>
      </c>
      <c r="F9" s="6" t="n">
        <v>12</v>
      </c>
      <c r="G9" s="6" t="n">
        <v>12</v>
      </c>
      <c r="H9" s="6" t="n">
        <v>12</v>
      </c>
      <c r="I9" s="6" t="n">
        <v>12</v>
      </c>
      <c r="J9" s="6" t="n">
        <v>12</v>
      </c>
    </row>
    <row r="10" customFormat="false" ht="15" hidden="false" customHeight="false" outlineLevel="0" collapsed="false">
      <c r="A10" s="28" t="s">
        <v>310</v>
      </c>
      <c r="C10" s="36" t="n">
        <f aca="false">C5*C8*C9</f>
        <v>320000</v>
      </c>
      <c r="D10" s="36" t="n">
        <f aca="false">D5*D8*D9</f>
        <v>2016000</v>
      </c>
      <c r="E10" s="36" t="n">
        <f aca="false">E5*E8*E9</f>
        <v>2116800</v>
      </c>
      <c r="F10" s="36" t="n">
        <f aca="false">F5*F8*F9</f>
        <v>2212056</v>
      </c>
      <c r="G10" s="36" t="n">
        <f aca="false">G5*G8*G9</f>
        <v>2311608</v>
      </c>
      <c r="H10" s="36" t="n">
        <f aca="false">H5*H8*H9</f>
        <v>2404080</v>
      </c>
      <c r="I10" s="36" t="n">
        <f aca="false">I5*I8*I9</f>
        <v>2500248</v>
      </c>
      <c r="J10" s="36" t="n">
        <f aca="false">J5*J8*J9</f>
        <v>2600256</v>
      </c>
    </row>
    <row r="11" customFormat="false" ht="15" hidden="false" customHeight="false" outlineLevel="0" collapsed="false">
      <c r="A11" s="30" t="s">
        <v>311</v>
      </c>
      <c r="C11" s="44" t="n">
        <f aca="false">C10*0.076</f>
        <v>24320</v>
      </c>
      <c r="D11" s="44" t="n">
        <f aca="false">D10*0.076</f>
        <v>153216</v>
      </c>
      <c r="E11" s="44" t="n">
        <f aca="false">E10*0.076</f>
        <v>160876.8</v>
      </c>
      <c r="F11" s="44" t="n">
        <f aca="false">F10*0.076</f>
        <v>168116.256</v>
      </c>
      <c r="G11" s="44" t="n">
        <f aca="false">G10*0.076</f>
        <v>175682.208</v>
      </c>
      <c r="H11" s="44" t="n">
        <f aca="false">H10*0.076</f>
        <v>182710.08</v>
      </c>
      <c r="I11" s="44" t="n">
        <f aca="false">I10*0.076</f>
        <v>190018.848</v>
      </c>
      <c r="J11" s="44" t="n">
        <f aca="false">J10*0.076</f>
        <v>197619.456</v>
      </c>
    </row>
    <row r="13" customFormat="false" ht="15" hidden="false" customHeight="false" outlineLevel="0" collapsed="false">
      <c r="A13" s="3" t="s">
        <v>312</v>
      </c>
      <c r="B13" s="3"/>
      <c r="C13" s="3"/>
      <c r="D13" s="3"/>
      <c r="E13" s="3"/>
      <c r="F13" s="3"/>
      <c r="G13" s="3"/>
      <c r="H13" s="3"/>
      <c r="I13" s="3"/>
      <c r="J13" s="3"/>
    </row>
    <row r="14" customFormat="false" ht="15" hidden="false" customHeight="false" outlineLevel="0" collapsed="false">
      <c r="A14" s="40" t="s">
        <v>306</v>
      </c>
      <c r="C14" s="6" t="n">
        <v>2</v>
      </c>
      <c r="D14" s="6" t="n">
        <v>2</v>
      </c>
      <c r="E14" s="6" t="n">
        <v>2</v>
      </c>
      <c r="F14" s="6" t="n">
        <v>2</v>
      </c>
      <c r="G14" s="6" t="n">
        <v>2</v>
      </c>
      <c r="H14" s="6" t="n">
        <v>2</v>
      </c>
      <c r="I14" s="6" t="n">
        <v>2</v>
      </c>
      <c r="J14" s="6" t="n">
        <v>2</v>
      </c>
    </row>
    <row r="15" customFormat="false" ht="15" hidden="false" customHeight="false" outlineLevel="0" collapsed="false">
      <c r="A15" s="40" t="s">
        <v>307</v>
      </c>
      <c r="C15" s="11" t="n">
        <v>65000</v>
      </c>
      <c r="D15" s="35" t="n">
        <f aca="false">ROUND(C15*(1+0.05),0)</f>
        <v>68250</v>
      </c>
      <c r="E15" s="35" t="n">
        <f aca="false">ROUND(D15*(1+0.05),0)</f>
        <v>71663</v>
      </c>
      <c r="F15" s="35" t="n">
        <f aca="false">ROUND(E15*(1+0.045),0)</f>
        <v>74888</v>
      </c>
      <c r="G15" s="35" t="n">
        <f aca="false">ROUND(F15*(1+0.045),0)</f>
        <v>78258</v>
      </c>
      <c r="H15" s="35" t="n">
        <f aca="false">ROUND(G15*(1+0.04),0)</f>
        <v>81388</v>
      </c>
      <c r="I15" s="35" t="n">
        <f aca="false">ROUND(H15*(1+0.04),0)</f>
        <v>84644</v>
      </c>
      <c r="J15" s="35" t="n">
        <f aca="false">ROUND(I15*(1+0.04),0)</f>
        <v>88030</v>
      </c>
    </row>
    <row r="16" customFormat="false" ht="15" hidden="false" customHeight="false" outlineLevel="0" collapsed="false">
      <c r="A16" s="40" t="s">
        <v>308</v>
      </c>
      <c r="C16" s="16" t="n">
        <v>2</v>
      </c>
      <c r="D16" s="16" t="n">
        <v>2</v>
      </c>
      <c r="E16" s="16" t="n">
        <v>2</v>
      </c>
      <c r="F16" s="16" t="n">
        <v>2</v>
      </c>
      <c r="G16" s="16" t="n">
        <v>2</v>
      </c>
      <c r="H16" s="16" t="n">
        <v>2</v>
      </c>
      <c r="I16" s="16" t="n">
        <v>2</v>
      </c>
      <c r="J16" s="16" t="n">
        <v>2</v>
      </c>
    </row>
    <row r="17" customFormat="false" ht="15" hidden="false" customHeight="false" outlineLevel="0" collapsed="false">
      <c r="A17" s="4" t="s">
        <v>309</v>
      </c>
      <c r="C17" s="35" t="n">
        <f aca="false">C15*C16</f>
        <v>130000</v>
      </c>
      <c r="D17" s="35" t="n">
        <f aca="false">D15*D16</f>
        <v>136500</v>
      </c>
      <c r="E17" s="35" t="n">
        <f aca="false">E15*E16</f>
        <v>143326</v>
      </c>
      <c r="F17" s="35" t="n">
        <f aca="false">F15*F16</f>
        <v>149776</v>
      </c>
      <c r="G17" s="35" t="n">
        <f aca="false">G15*G16</f>
        <v>156516</v>
      </c>
      <c r="H17" s="35" t="n">
        <f aca="false">H15*H16</f>
        <v>162776</v>
      </c>
      <c r="I17" s="35" t="n">
        <f aca="false">I15*I16</f>
        <v>169288</v>
      </c>
      <c r="J17" s="35" t="n">
        <f aca="false">J15*J16</f>
        <v>176060</v>
      </c>
    </row>
    <row r="18" customFormat="false" ht="15" hidden="false" customHeight="false" outlineLevel="0" collapsed="false">
      <c r="A18" s="40" t="s">
        <v>261</v>
      </c>
      <c r="C18" s="6" t="n">
        <v>2</v>
      </c>
      <c r="D18" s="6" t="n">
        <v>12</v>
      </c>
      <c r="E18" s="6" t="n">
        <v>12</v>
      </c>
      <c r="F18" s="6" t="n">
        <v>12</v>
      </c>
      <c r="G18" s="6" t="n">
        <v>12</v>
      </c>
      <c r="H18" s="6" t="n">
        <v>12</v>
      </c>
      <c r="I18" s="6" t="n">
        <v>12</v>
      </c>
      <c r="J18" s="6" t="n">
        <v>12</v>
      </c>
    </row>
    <row r="19" customFormat="false" ht="15" hidden="false" customHeight="false" outlineLevel="0" collapsed="false">
      <c r="A19" s="28" t="s">
        <v>310</v>
      </c>
      <c r="C19" s="36" t="n">
        <f aca="false">C14*C17*C18</f>
        <v>520000</v>
      </c>
      <c r="D19" s="36" t="n">
        <f aca="false">D14*D17*D18</f>
        <v>3276000</v>
      </c>
      <c r="E19" s="36" t="n">
        <f aca="false">E14*E17*E18</f>
        <v>3439824</v>
      </c>
      <c r="F19" s="36" t="n">
        <f aca="false">F14*F17*F18</f>
        <v>3594624</v>
      </c>
      <c r="G19" s="36" t="n">
        <f aca="false">G14*G17*G18</f>
        <v>3756384</v>
      </c>
      <c r="H19" s="36" t="n">
        <f aca="false">H14*H17*H18</f>
        <v>3906624</v>
      </c>
      <c r="I19" s="36" t="n">
        <f aca="false">I14*I17*I18</f>
        <v>4062912</v>
      </c>
      <c r="J19" s="36" t="n">
        <f aca="false">J14*J17*J18</f>
        <v>4225440</v>
      </c>
    </row>
    <row r="20" customFormat="false" ht="15" hidden="false" customHeight="false" outlineLevel="0" collapsed="false">
      <c r="A20" s="30" t="s">
        <v>311</v>
      </c>
      <c r="C20" s="44" t="n">
        <f aca="false">C19*0.076</f>
        <v>39520</v>
      </c>
      <c r="D20" s="44" t="n">
        <f aca="false">D19*0.076</f>
        <v>248976</v>
      </c>
      <c r="E20" s="44" t="n">
        <f aca="false">E19*0.076</f>
        <v>261426.624</v>
      </c>
      <c r="F20" s="44" t="n">
        <f aca="false">F19*0.076</f>
        <v>273191.424</v>
      </c>
      <c r="G20" s="44" t="n">
        <f aca="false">G19*0.076</f>
        <v>285485.184</v>
      </c>
      <c r="H20" s="44" t="n">
        <f aca="false">H19*0.076</f>
        <v>296903.424</v>
      </c>
      <c r="I20" s="44" t="n">
        <f aca="false">I19*0.076</f>
        <v>308781.312</v>
      </c>
      <c r="J20" s="44" t="n">
        <f aca="false">J19*0.076</f>
        <v>321133.44</v>
      </c>
    </row>
    <row r="22" customFormat="false" ht="15" hidden="false" customHeight="false" outlineLevel="0" collapsed="false">
      <c r="A22" s="3" t="s">
        <v>313</v>
      </c>
      <c r="B22" s="3"/>
      <c r="C22" s="3"/>
      <c r="D22" s="3"/>
      <c r="E22" s="3"/>
      <c r="F22" s="3"/>
      <c r="G22" s="3"/>
      <c r="H22" s="3"/>
      <c r="I22" s="3"/>
      <c r="J22" s="3"/>
    </row>
    <row r="23" customFormat="false" ht="15" hidden="false" customHeight="false" outlineLevel="0" collapsed="false">
      <c r="A23" s="40" t="s">
        <v>306</v>
      </c>
      <c r="C23" s="6" t="n">
        <v>4</v>
      </c>
      <c r="D23" s="6" t="n">
        <v>4</v>
      </c>
      <c r="E23" s="6" t="n">
        <v>4</v>
      </c>
      <c r="F23" s="6" t="n">
        <v>4</v>
      </c>
      <c r="G23" s="6" t="n">
        <v>4</v>
      </c>
      <c r="H23" s="6" t="n">
        <v>4</v>
      </c>
      <c r="I23" s="6" t="n">
        <v>4</v>
      </c>
      <c r="J23" s="6" t="n">
        <v>4</v>
      </c>
    </row>
    <row r="24" customFormat="false" ht="15" hidden="false" customHeight="false" outlineLevel="0" collapsed="false">
      <c r="A24" s="40" t="s">
        <v>307</v>
      </c>
      <c r="C24" s="11" t="n">
        <v>55000</v>
      </c>
      <c r="D24" s="35" t="n">
        <f aca="false">ROUND(C24*(1+0.05),0)</f>
        <v>57750</v>
      </c>
      <c r="E24" s="35" t="n">
        <f aca="false">ROUND(D24*(1+0.05),0)</f>
        <v>60638</v>
      </c>
      <c r="F24" s="35" t="n">
        <f aca="false">ROUND(E24*(1+0.045),0)</f>
        <v>63367</v>
      </c>
      <c r="G24" s="35" t="n">
        <f aca="false">ROUND(F24*(1+0.045),0)</f>
        <v>66219</v>
      </c>
      <c r="H24" s="35" t="n">
        <f aca="false">ROUND(G24*(1+0.04),0)</f>
        <v>68868</v>
      </c>
      <c r="I24" s="35" t="n">
        <f aca="false">ROUND(H24*(1+0.04),0)</f>
        <v>71623</v>
      </c>
      <c r="J24" s="35" t="n">
        <f aca="false">ROUND(I24*(1+0.04),0)</f>
        <v>74488</v>
      </c>
    </row>
    <row r="25" customFormat="false" ht="15" hidden="false" customHeight="false" outlineLevel="0" collapsed="false">
      <c r="A25" s="40" t="s">
        <v>308</v>
      </c>
      <c r="C25" s="16" t="n">
        <v>2</v>
      </c>
      <c r="D25" s="16" t="n">
        <v>2</v>
      </c>
      <c r="E25" s="16" t="n">
        <v>2</v>
      </c>
      <c r="F25" s="16" t="n">
        <v>2</v>
      </c>
      <c r="G25" s="16" t="n">
        <v>2</v>
      </c>
      <c r="H25" s="16" t="n">
        <v>2</v>
      </c>
      <c r="I25" s="16" t="n">
        <v>2</v>
      </c>
      <c r="J25" s="16" t="n">
        <v>2</v>
      </c>
    </row>
    <row r="26" customFormat="false" ht="15" hidden="false" customHeight="false" outlineLevel="0" collapsed="false">
      <c r="A26" s="4" t="s">
        <v>309</v>
      </c>
      <c r="C26" s="35" t="n">
        <f aca="false">C24*C25</f>
        <v>110000</v>
      </c>
      <c r="D26" s="35" t="n">
        <f aca="false">D24*D25</f>
        <v>115500</v>
      </c>
      <c r="E26" s="35" t="n">
        <f aca="false">E24*E25</f>
        <v>121276</v>
      </c>
      <c r="F26" s="35" t="n">
        <f aca="false">F24*F25</f>
        <v>126734</v>
      </c>
      <c r="G26" s="35" t="n">
        <f aca="false">G24*G25</f>
        <v>132438</v>
      </c>
      <c r="H26" s="35" t="n">
        <f aca="false">H24*H25</f>
        <v>137736</v>
      </c>
      <c r="I26" s="35" t="n">
        <f aca="false">I24*I25</f>
        <v>143246</v>
      </c>
      <c r="J26" s="35" t="n">
        <f aca="false">J24*J25</f>
        <v>148976</v>
      </c>
    </row>
    <row r="27" customFormat="false" ht="15" hidden="false" customHeight="false" outlineLevel="0" collapsed="false">
      <c r="A27" s="40" t="s">
        <v>261</v>
      </c>
      <c r="C27" s="6" t="n">
        <v>2</v>
      </c>
      <c r="D27" s="6" t="n">
        <v>12</v>
      </c>
      <c r="E27" s="6" t="n">
        <v>12</v>
      </c>
      <c r="F27" s="6" t="n">
        <v>12</v>
      </c>
      <c r="G27" s="6" t="n">
        <v>12</v>
      </c>
      <c r="H27" s="6" t="n">
        <v>12</v>
      </c>
      <c r="I27" s="6" t="n">
        <v>12</v>
      </c>
      <c r="J27" s="6" t="n">
        <v>12</v>
      </c>
    </row>
    <row r="28" customFormat="false" ht="15" hidden="false" customHeight="false" outlineLevel="0" collapsed="false">
      <c r="A28" s="28" t="s">
        <v>310</v>
      </c>
      <c r="C28" s="36" t="n">
        <f aca="false">C23*C26*C27</f>
        <v>880000</v>
      </c>
      <c r="D28" s="36" t="n">
        <f aca="false">D23*D26*D27</f>
        <v>5544000</v>
      </c>
      <c r="E28" s="36" t="n">
        <f aca="false">E23*E26*E27</f>
        <v>5821248</v>
      </c>
      <c r="F28" s="36" t="n">
        <f aca="false">F23*F26*F27</f>
        <v>6083232</v>
      </c>
      <c r="G28" s="36" t="n">
        <f aca="false">G23*G26*G27</f>
        <v>6357024</v>
      </c>
      <c r="H28" s="36" t="n">
        <f aca="false">H23*H26*H27</f>
        <v>6611328</v>
      </c>
      <c r="I28" s="36" t="n">
        <f aca="false">I23*I26*I27</f>
        <v>6875808</v>
      </c>
      <c r="J28" s="36" t="n">
        <f aca="false">J23*J26*J27</f>
        <v>7150848</v>
      </c>
    </row>
    <row r="29" customFormat="false" ht="15" hidden="false" customHeight="false" outlineLevel="0" collapsed="false">
      <c r="A29" s="30" t="s">
        <v>311</v>
      </c>
      <c r="C29" s="44" t="n">
        <f aca="false">C28*0.076</f>
        <v>66880</v>
      </c>
      <c r="D29" s="44" t="n">
        <f aca="false">D28*0.076</f>
        <v>421344</v>
      </c>
      <c r="E29" s="44" t="n">
        <f aca="false">E28*0.076</f>
        <v>442414.848</v>
      </c>
      <c r="F29" s="44" t="n">
        <f aca="false">F28*0.076</f>
        <v>462325.632</v>
      </c>
      <c r="G29" s="44" t="n">
        <f aca="false">G28*0.076</f>
        <v>483133.824</v>
      </c>
      <c r="H29" s="44" t="n">
        <f aca="false">H28*0.076</f>
        <v>502460.928</v>
      </c>
      <c r="I29" s="44" t="n">
        <f aca="false">I28*0.076</f>
        <v>522561.408</v>
      </c>
      <c r="J29" s="44" t="n">
        <f aca="false">J28*0.076</f>
        <v>543464.448</v>
      </c>
    </row>
    <row r="31" customFormat="false" ht="15" hidden="false" customHeight="false" outlineLevel="0" collapsed="false">
      <c r="A31" s="3" t="s">
        <v>314</v>
      </c>
      <c r="B31" s="3"/>
      <c r="C31" s="3"/>
      <c r="D31" s="3"/>
      <c r="E31" s="3"/>
      <c r="F31" s="3"/>
      <c r="G31" s="3"/>
      <c r="H31" s="3"/>
      <c r="I31" s="3"/>
      <c r="J31" s="3"/>
    </row>
    <row r="32" customFormat="false" ht="15" hidden="false" customHeight="false" outlineLevel="0" collapsed="false">
      <c r="A32" s="40" t="s">
        <v>306</v>
      </c>
      <c r="C32" s="6" t="n">
        <v>2</v>
      </c>
      <c r="D32" s="6" t="n">
        <v>2</v>
      </c>
      <c r="E32" s="6" t="n">
        <v>2</v>
      </c>
      <c r="F32" s="6" t="n">
        <v>2</v>
      </c>
      <c r="G32" s="6" t="n">
        <v>2</v>
      </c>
      <c r="H32" s="6" t="n">
        <v>2</v>
      </c>
      <c r="I32" s="6" t="n">
        <v>2</v>
      </c>
      <c r="J32" s="6" t="n">
        <v>2</v>
      </c>
    </row>
    <row r="33" customFormat="false" ht="15" hidden="false" customHeight="false" outlineLevel="0" collapsed="false">
      <c r="A33" s="40" t="s">
        <v>307</v>
      </c>
      <c r="C33" s="11" t="n">
        <v>60000</v>
      </c>
      <c r="D33" s="35" t="n">
        <f aca="false">ROUND(C33*(1+0.05),0)</f>
        <v>63000</v>
      </c>
      <c r="E33" s="35" t="n">
        <f aca="false">ROUND(D33*(1+0.05),0)</f>
        <v>66150</v>
      </c>
      <c r="F33" s="35" t="n">
        <f aca="false">ROUND(E33*(1+0.045),0)</f>
        <v>69127</v>
      </c>
      <c r="G33" s="35" t="n">
        <f aca="false">ROUND(F33*(1+0.045),0)</f>
        <v>72238</v>
      </c>
      <c r="H33" s="35" t="n">
        <f aca="false">ROUND(G33*(1+0.04),0)</f>
        <v>75128</v>
      </c>
      <c r="I33" s="35" t="n">
        <f aca="false">ROUND(H33*(1+0.04),0)</f>
        <v>78133</v>
      </c>
      <c r="J33" s="35" t="n">
        <f aca="false">ROUND(I33*(1+0.04),0)</f>
        <v>81258</v>
      </c>
    </row>
    <row r="34" customFormat="false" ht="15" hidden="false" customHeight="false" outlineLevel="0" collapsed="false">
      <c r="A34" s="40" t="s">
        <v>308</v>
      </c>
      <c r="C34" s="16" t="n">
        <v>2</v>
      </c>
      <c r="D34" s="16" t="n">
        <v>2</v>
      </c>
      <c r="E34" s="16" t="n">
        <v>2</v>
      </c>
      <c r="F34" s="16" t="n">
        <v>2</v>
      </c>
      <c r="G34" s="16" t="n">
        <v>2</v>
      </c>
      <c r="H34" s="16" t="n">
        <v>2</v>
      </c>
      <c r="I34" s="16" t="n">
        <v>2</v>
      </c>
      <c r="J34" s="16" t="n">
        <v>2</v>
      </c>
    </row>
    <row r="35" customFormat="false" ht="15" hidden="false" customHeight="false" outlineLevel="0" collapsed="false">
      <c r="A35" s="4" t="s">
        <v>309</v>
      </c>
      <c r="C35" s="35" t="n">
        <f aca="false">C33*C34</f>
        <v>120000</v>
      </c>
      <c r="D35" s="35" t="n">
        <f aca="false">D33*D34</f>
        <v>126000</v>
      </c>
      <c r="E35" s="35" t="n">
        <f aca="false">E33*E34</f>
        <v>132300</v>
      </c>
      <c r="F35" s="35" t="n">
        <f aca="false">F33*F34</f>
        <v>138254</v>
      </c>
      <c r="G35" s="35" t="n">
        <f aca="false">G33*G34</f>
        <v>144476</v>
      </c>
      <c r="H35" s="35" t="n">
        <f aca="false">H33*H34</f>
        <v>150256</v>
      </c>
      <c r="I35" s="35" t="n">
        <f aca="false">I33*I34</f>
        <v>156266</v>
      </c>
      <c r="J35" s="35" t="n">
        <f aca="false">J33*J34</f>
        <v>162516</v>
      </c>
    </row>
    <row r="36" customFormat="false" ht="15" hidden="false" customHeight="false" outlineLevel="0" collapsed="false">
      <c r="A36" s="40" t="s">
        <v>261</v>
      </c>
      <c r="C36" s="6" t="n">
        <v>2</v>
      </c>
      <c r="D36" s="6" t="n">
        <v>12</v>
      </c>
      <c r="E36" s="6" t="n">
        <v>12</v>
      </c>
      <c r="F36" s="6" t="n">
        <v>12</v>
      </c>
      <c r="G36" s="6" t="n">
        <v>12</v>
      </c>
      <c r="H36" s="6" t="n">
        <v>12</v>
      </c>
      <c r="I36" s="6" t="n">
        <v>12</v>
      </c>
      <c r="J36" s="6" t="n">
        <v>12</v>
      </c>
    </row>
    <row r="37" customFormat="false" ht="15" hidden="false" customHeight="false" outlineLevel="0" collapsed="false">
      <c r="A37" s="28" t="s">
        <v>310</v>
      </c>
      <c r="C37" s="36" t="n">
        <f aca="false">C32*C35*C36</f>
        <v>480000</v>
      </c>
      <c r="D37" s="36" t="n">
        <f aca="false">D32*D35*D36</f>
        <v>3024000</v>
      </c>
      <c r="E37" s="36" t="n">
        <f aca="false">E32*E35*E36</f>
        <v>3175200</v>
      </c>
      <c r="F37" s="36" t="n">
        <f aca="false">F32*F35*F36</f>
        <v>3318096</v>
      </c>
      <c r="G37" s="36" t="n">
        <f aca="false">G32*G35*G36</f>
        <v>3467424</v>
      </c>
      <c r="H37" s="36" t="n">
        <f aca="false">H32*H35*H36</f>
        <v>3606144</v>
      </c>
      <c r="I37" s="36" t="n">
        <f aca="false">I32*I35*I36</f>
        <v>3750384</v>
      </c>
      <c r="J37" s="36" t="n">
        <f aca="false">J32*J35*J36</f>
        <v>3900384</v>
      </c>
    </row>
    <row r="38" customFormat="false" ht="15" hidden="false" customHeight="false" outlineLevel="0" collapsed="false">
      <c r="A38" s="30" t="s">
        <v>311</v>
      </c>
      <c r="C38" s="44" t="n">
        <f aca="false">C37*0.076</f>
        <v>36480</v>
      </c>
      <c r="D38" s="44" t="n">
        <f aca="false">D37*0.076</f>
        <v>229824</v>
      </c>
      <c r="E38" s="44" t="n">
        <f aca="false">E37*0.076</f>
        <v>241315.2</v>
      </c>
      <c r="F38" s="44" t="n">
        <f aca="false">F37*0.076</f>
        <v>252175.296</v>
      </c>
      <c r="G38" s="44" t="n">
        <f aca="false">G37*0.076</f>
        <v>263524.224</v>
      </c>
      <c r="H38" s="44" t="n">
        <f aca="false">H37*0.076</f>
        <v>274066.944</v>
      </c>
      <c r="I38" s="44" t="n">
        <f aca="false">I37*0.076</f>
        <v>285029.184</v>
      </c>
      <c r="J38" s="44" t="n">
        <f aca="false">J37*0.076</f>
        <v>296429.184</v>
      </c>
    </row>
    <row r="40" customFormat="false" ht="15" hidden="false" customHeight="false" outlineLevel="0" collapsed="false">
      <c r="A40" s="3" t="s">
        <v>315</v>
      </c>
      <c r="B40" s="3"/>
      <c r="C40" s="3"/>
      <c r="D40" s="3"/>
      <c r="E40" s="3"/>
      <c r="F40" s="3"/>
      <c r="G40" s="3"/>
      <c r="H40" s="3"/>
      <c r="I40" s="3"/>
      <c r="J40" s="3"/>
    </row>
    <row r="41" customFormat="false" ht="15" hidden="false" customHeight="false" outlineLevel="0" collapsed="false">
      <c r="A41" s="40" t="s">
        <v>306</v>
      </c>
      <c r="C41" s="6" t="n">
        <v>1</v>
      </c>
      <c r="D41" s="6" t="n">
        <v>1</v>
      </c>
      <c r="E41" s="6" t="n">
        <v>1</v>
      </c>
      <c r="F41" s="6" t="n">
        <v>1</v>
      </c>
      <c r="G41" s="6" t="n">
        <v>1</v>
      </c>
      <c r="H41" s="6" t="n">
        <v>1</v>
      </c>
      <c r="I41" s="6" t="n">
        <v>1</v>
      </c>
      <c r="J41" s="6" t="n">
        <v>1</v>
      </c>
    </row>
    <row r="42" customFormat="false" ht="15" hidden="false" customHeight="false" outlineLevel="0" collapsed="false">
      <c r="A42" s="40" t="s">
        <v>307</v>
      </c>
      <c r="C42" s="11" t="n">
        <v>45000</v>
      </c>
      <c r="D42" s="35" t="n">
        <f aca="false">ROUND(C42*(1+0.05),0)</f>
        <v>47250</v>
      </c>
      <c r="E42" s="35" t="n">
        <f aca="false">ROUND(D42*(1+0.05),0)</f>
        <v>49613</v>
      </c>
      <c r="F42" s="35" t="n">
        <f aca="false">ROUND(E42*(1+0.045),0)</f>
        <v>51846</v>
      </c>
      <c r="G42" s="35" t="n">
        <f aca="false">ROUND(F42*(1+0.045),0)</f>
        <v>54179</v>
      </c>
      <c r="H42" s="35" t="n">
        <f aca="false">ROUND(G42*(1+0.04),0)</f>
        <v>56346</v>
      </c>
      <c r="I42" s="35" t="n">
        <f aca="false">ROUND(H42*(1+0.04),0)</f>
        <v>58600</v>
      </c>
      <c r="J42" s="35" t="n">
        <f aca="false">ROUND(I42*(1+0.04),0)</f>
        <v>60944</v>
      </c>
    </row>
    <row r="43" customFormat="false" ht="15" hidden="false" customHeight="false" outlineLevel="0" collapsed="false">
      <c r="A43" s="40" t="s">
        <v>308</v>
      </c>
      <c r="C43" s="16" t="n">
        <v>2</v>
      </c>
      <c r="D43" s="16" t="n">
        <v>2</v>
      </c>
      <c r="E43" s="16" t="n">
        <v>2</v>
      </c>
      <c r="F43" s="16" t="n">
        <v>2</v>
      </c>
      <c r="G43" s="16" t="n">
        <v>2</v>
      </c>
      <c r="H43" s="16" t="n">
        <v>2</v>
      </c>
      <c r="I43" s="16" t="n">
        <v>2</v>
      </c>
      <c r="J43" s="16" t="n">
        <v>2</v>
      </c>
    </row>
    <row r="44" customFormat="false" ht="15" hidden="false" customHeight="false" outlineLevel="0" collapsed="false">
      <c r="A44" s="4" t="s">
        <v>309</v>
      </c>
      <c r="C44" s="35" t="n">
        <f aca="false">C42*C43</f>
        <v>90000</v>
      </c>
      <c r="D44" s="35" t="n">
        <f aca="false">D42*D43</f>
        <v>94500</v>
      </c>
      <c r="E44" s="35" t="n">
        <f aca="false">E42*E43</f>
        <v>99226</v>
      </c>
      <c r="F44" s="35" t="n">
        <f aca="false">F42*F43</f>
        <v>103692</v>
      </c>
      <c r="G44" s="35" t="n">
        <f aca="false">G42*G43</f>
        <v>108358</v>
      </c>
      <c r="H44" s="35" t="n">
        <f aca="false">H42*H43</f>
        <v>112692</v>
      </c>
      <c r="I44" s="35" t="n">
        <f aca="false">I42*I43</f>
        <v>117200</v>
      </c>
      <c r="J44" s="35" t="n">
        <f aca="false">J42*J43</f>
        <v>121888</v>
      </c>
    </row>
    <row r="45" customFormat="false" ht="15" hidden="false" customHeight="false" outlineLevel="0" collapsed="false">
      <c r="A45" s="40" t="s">
        <v>261</v>
      </c>
      <c r="C45" s="6" t="n">
        <v>2</v>
      </c>
      <c r="D45" s="6" t="n">
        <v>12</v>
      </c>
      <c r="E45" s="6" t="n">
        <v>12</v>
      </c>
      <c r="F45" s="6" t="n">
        <v>12</v>
      </c>
      <c r="G45" s="6" t="n">
        <v>12</v>
      </c>
      <c r="H45" s="6" t="n">
        <v>12</v>
      </c>
      <c r="I45" s="6" t="n">
        <v>12</v>
      </c>
      <c r="J45" s="6" t="n">
        <v>12</v>
      </c>
    </row>
    <row r="46" customFormat="false" ht="15" hidden="false" customHeight="false" outlineLevel="0" collapsed="false">
      <c r="A46" s="28" t="s">
        <v>310</v>
      </c>
      <c r="C46" s="36" t="n">
        <f aca="false">C41*C44*C45</f>
        <v>180000</v>
      </c>
      <c r="D46" s="36" t="n">
        <f aca="false">D41*D44*D45</f>
        <v>1134000</v>
      </c>
      <c r="E46" s="36" t="n">
        <f aca="false">E41*E44*E45</f>
        <v>1190712</v>
      </c>
      <c r="F46" s="36" t="n">
        <f aca="false">F41*F44*F45</f>
        <v>1244304</v>
      </c>
      <c r="G46" s="36" t="n">
        <f aca="false">G41*G44*G45</f>
        <v>1300296</v>
      </c>
      <c r="H46" s="36" t="n">
        <f aca="false">H41*H44*H45</f>
        <v>1352304</v>
      </c>
      <c r="I46" s="36" t="n">
        <f aca="false">I41*I44*I45</f>
        <v>1406400</v>
      </c>
      <c r="J46" s="36" t="n">
        <f aca="false">J41*J44*J45</f>
        <v>1462656</v>
      </c>
    </row>
    <row r="47" customFormat="false" ht="15" hidden="false" customHeight="false" outlineLevel="0" collapsed="false">
      <c r="A47" s="30" t="s">
        <v>311</v>
      </c>
      <c r="C47" s="44" t="n">
        <f aca="false">C46*0.076</f>
        <v>13680</v>
      </c>
      <c r="D47" s="44" t="n">
        <f aca="false">D46*0.076</f>
        <v>86184</v>
      </c>
      <c r="E47" s="44" t="n">
        <f aca="false">E46*0.076</f>
        <v>90494.112</v>
      </c>
      <c r="F47" s="44" t="n">
        <f aca="false">F46*0.076</f>
        <v>94567.104</v>
      </c>
      <c r="G47" s="44" t="n">
        <f aca="false">G46*0.076</f>
        <v>98822.496</v>
      </c>
      <c r="H47" s="44" t="n">
        <f aca="false">H46*0.076</f>
        <v>102775.104</v>
      </c>
      <c r="I47" s="44" t="n">
        <f aca="false">I46*0.076</f>
        <v>106886.4</v>
      </c>
      <c r="J47" s="44" t="n">
        <f aca="false">J46*0.076</f>
        <v>111161.856</v>
      </c>
    </row>
    <row r="49" customFormat="false" ht="15" hidden="false" customHeight="false" outlineLevel="0" collapsed="false">
      <c r="A49" s="3" t="s">
        <v>316</v>
      </c>
      <c r="B49" s="3"/>
      <c r="C49" s="3"/>
      <c r="D49" s="3"/>
      <c r="E49" s="3"/>
      <c r="F49" s="3"/>
      <c r="G49" s="3"/>
      <c r="H49" s="3"/>
      <c r="I49" s="3"/>
      <c r="J49" s="3"/>
    </row>
    <row r="50" customFormat="false" ht="15" hidden="false" customHeight="false" outlineLevel="0" collapsed="false">
      <c r="A50" s="40" t="s">
        <v>306</v>
      </c>
      <c r="C50" s="6" t="n">
        <v>2</v>
      </c>
      <c r="D50" s="6" t="n">
        <v>2</v>
      </c>
      <c r="E50" s="6" t="n">
        <v>2</v>
      </c>
      <c r="F50" s="6" t="n">
        <v>2</v>
      </c>
      <c r="G50" s="6" t="n">
        <v>2</v>
      </c>
      <c r="H50" s="6" t="n">
        <v>2</v>
      </c>
      <c r="I50" s="6" t="n">
        <v>2</v>
      </c>
      <c r="J50" s="6" t="n">
        <v>2</v>
      </c>
    </row>
    <row r="51" customFormat="false" ht="15" hidden="false" customHeight="false" outlineLevel="0" collapsed="false">
      <c r="A51" s="40" t="s">
        <v>307</v>
      </c>
      <c r="C51" s="11" t="n">
        <v>45000</v>
      </c>
      <c r="D51" s="35" t="n">
        <f aca="false">ROUND(C51*(1+0.05),0)</f>
        <v>47250</v>
      </c>
      <c r="E51" s="35" t="n">
        <f aca="false">ROUND(D51*(1+0.05),0)</f>
        <v>49613</v>
      </c>
      <c r="F51" s="35" t="n">
        <f aca="false">ROUND(E51*(1+0.045),0)</f>
        <v>51846</v>
      </c>
      <c r="G51" s="35" t="n">
        <f aca="false">ROUND(F51*(1+0.045),0)</f>
        <v>54179</v>
      </c>
      <c r="H51" s="35" t="n">
        <f aca="false">ROUND(G51*(1+0.04),0)</f>
        <v>56346</v>
      </c>
      <c r="I51" s="35" t="n">
        <f aca="false">ROUND(H51*(1+0.04),0)</f>
        <v>58600</v>
      </c>
      <c r="J51" s="35" t="n">
        <f aca="false">ROUND(I51*(1+0.04),0)</f>
        <v>60944</v>
      </c>
    </row>
    <row r="52" customFormat="false" ht="15" hidden="false" customHeight="false" outlineLevel="0" collapsed="false">
      <c r="A52" s="40" t="s">
        <v>308</v>
      </c>
      <c r="C52" s="16" t="n">
        <v>2</v>
      </c>
      <c r="D52" s="16" t="n">
        <v>2</v>
      </c>
      <c r="E52" s="16" t="n">
        <v>2</v>
      </c>
      <c r="F52" s="16" t="n">
        <v>2</v>
      </c>
      <c r="G52" s="16" t="n">
        <v>2</v>
      </c>
      <c r="H52" s="16" t="n">
        <v>2</v>
      </c>
      <c r="I52" s="16" t="n">
        <v>2</v>
      </c>
      <c r="J52" s="16" t="n">
        <v>2</v>
      </c>
    </row>
    <row r="53" customFormat="false" ht="15" hidden="false" customHeight="false" outlineLevel="0" collapsed="false">
      <c r="A53" s="4" t="s">
        <v>309</v>
      </c>
      <c r="C53" s="35" t="n">
        <f aca="false">C51*C52</f>
        <v>90000</v>
      </c>
      <c r="D53" s="35" t="n">
        <f aca="false">D51*D52</f>
        <v>94500</v>
      </c>
      <c r="E53" s="35" t="n">
        <f aca="false">E51*E52</f>
        <v>99226</v>
      </c>
      <c r="F53" s="35" t="n">
        <f aca="false">F51*F52</f>
        <v>103692</v>
      </c>
      <c r="G53" s="35" t="n">
        <f aca="false">G51*G52</f>
        <v>108358</v>
      </c>
      <c r="H53" s="35" t="n">
        <f aca="false">H51*H52</f>
        <v>112692</v>
      </c>
      <c r="I53" s="35" t="n">
        <f aca="false">I51*I52</f>
        <v>117200</v>
      </c>
      <c r="J53" s="35" t="n">
        <f aca="false">J51*J52</f>
        <v>121888</v>
      </c>
    </row>
    <row r="54" customFormat="false" ht="15" hidden="false" customHeight="false" outlineLevel="0" collapsed="false">
      <c r="A54" s="40" t="s">
        <v>261</v>
      </c>
      <c r="C54" s="6" t="n">
        <v>2</v>
      </c>
      <c r="D54" s="6" t="n">
        <v>12</v>
      </c>
      <c r="E54" s="6" t="n">
        <v>12</v>
      </c>
      <c r="F54" s="6" t="n">
        <v>12</v>
      </c>
      <c r="G54" s="6" t="n">
        <v>12</v>
      </c>
      <c r="H54" s="6" t="n">
        <v>12</v>
      </c>
      <c r="I54" s="6" t="n">
        <v>12</v>
      </c>
      <c r="J54" s="6" t="n">
        <v>12</v>
      </c>
    </row>
    <row r="55" customFormat="false" ht="15" hidden="false" customHeight="false" outlineLevel="0" collapsed="false">
      <c r="A55" s="28" t="s">
        <v>310</v>
      </c>
      <c r="C55" s="36" t="n">
        <f aca="false">C50*C53*C54</f>
        <v>360000</v>
      </c>
      <c r="D55" s="36" t="n">
        <f aca="false">D50*D53*D54</f>
        <v>2268000</v>
      </c>
      <c r="E55" s="36" t="n">
        <f aca="false">E50*E53*E54</f>
        <v>2381424</v>
      </c>
      <c r="F55" s="36" t="n">
        <f aca="false">F50*F53*F54</f>
        <v>2488608</v>
      </c>
      <c r="G55" s="36" t="n">
        <f aca="false">G50*G53*G54</f>
        <v>2600592</v>
      </c>
      <c r="H55" s="36" t="n">
        <f aca="false">H50*H53*H54</f>
        <v>2704608</v>
      </c>
      <c r="I55" s="36" t="n">
        <f aca="false">I50*I53*I54</f>
        <v>2812800</v>
      </c>
      <c r="J55" s="36" t="n">
        <f aca="false">J50*J53*J54</f>
        <v>2925312</v>
      </c>
    </row>
    <row r="56" customFormat="false" ht="15" hidden="false" customHeight="false" outlineLevel="0" collapsed="false">
      <c r="A56" s="30" t="s">
        <v>311</v>
      </c>
      <c r="C56" s="44" t="n">
        <f aca="false">C55*0.076</f>
        <v>27360</v>
      </c>
      <c r="D56" s="44" t="n">
        <f aca="false">D55*0.076</f>
        <v>172368</v>
      </c>
      <c r="E56" s="44" t="n">
        <f aca="false">E55*0.076</f>
        <v>180988.224</v>
      </c>
      <c r="F56" s="44" t="n">
        <f aca="false">F55*0.076</f>
        <v>189134.208</v>
      </c>
      <c r="G56" s="44" t="n">
        <f aca="false">G55*0.076</f>
        <v>197644.992</v>
      </c>
      <c r="H56" s="44" t="n">
        <f aca="false">H55*0.076</f>
        <v>205550.208</v>
      </c>
      <c r="I56" s="44" t="n">
        <f aca="false">I55*0.076</f>
        <v>213772.8</v>
      </c>
      <c r="J56" s="44" t="n">
        <f aca="false">J55*0.076</f>
        <v>222323.712</v>
      </c>
    </row>
    <row r="58" customFormat="false" ht="15" hidden="false" customHeight="false" outlineLevel="0" collapsed="false">
      <c r="A58" s="3" t="s">
        <v>317</v>
      </c>
      <c r="B58" s="3"/>
      <c r="C58" s="3"/>
      <c r="D58" s="3"/>
      <c r="E58" s="3"/>
      <c r="F58" s="3"/>
      <c r="G58" s="3"/>
      <c r="H58" s="3"/>
      <c r="I58" s="3"/>
      <c r="J58" s="3"/>
    </row>
    <row r="59" customFormat="false" ht="15" hidden="false" customHeight="false" outlineLevel="0" collapsed="false">
      <c r="A59" s="40" t="s">
        <v>306</v>
      </c>
      <c r="C59" s="6" t="n">
        <v>1</v>
      </c>
      <c r="D59" s="6" t="n">
        <v>1</v>
      </c>
      <c r="E59" s="6" t="n">
        <v>1</v>
      </c>
      <c r="F59" s="6" t="n">
        <v>1</v>
      </c>
      <c r="G59" s="6" t="n">
        <v>1</v>
      </c>
      <c r="H59" s="6" t="n">
        <v>1</v>
      </c>
      <c r="I59" s="6" t="n">
        <v>1</v>
      </c>
      <c r="J59" s="6" t="n">
        <v>1</v>
      </c>
    </row>
    <row r="60" customFormat="false" ht="15" hidden="false" customHeight="false" outlineLevel="0" collapsed="false">
      <c r="A60" s="40" t="s">
        <v>307</v>
      </c>
      <c r="C60" s="11" t="n">
        <v>35000</v>
      </c>
      <c r="D60" s="35" t="n">
        <f aca="false">ROUND(C60*(1+0.05),0)</f>
        <v>36750</v>
      </c>
      <c r="E60" s="35" t="n">
        <f aca="false">ROUND(D60*(1+0.05),0)</f>
        <v>38588</v>
      </c>
      <c r="F60" s="35" t="n">
        <f aca="false">ROUND(E60*(1+0.045),0)</f>
        <v>40324</v>
      </c>
      <c r="G60" s="35" t="n">
        <f aca="false">ROUND(F60*(1+0.045),0)</f>
        <v>42139</v>
      </c>
      <c r="H60" s="35" t="n">
        <f aca="false">ROUND(G60*(1+0.04),0)</f>
        <v>43825</v>
      </c>
      <c r="I60" s="35" t="n">
        <f aca="false">ROUND(H60*(1+0.04),0)</f>
        <v>45578</v>
      </c>
      <c r="J60" s="35" t="n">
        <f aca="false">ROUND(I60*(1+0.04),0)</f>
        <v>47401</v>
      </c>
    </row>
    <row r="61" customFormat="false" ht="15" hidden="false" customHeight="false" outlineLevel="0" collapsed="false">
      <c r="A61" s="40" t="s">
        <v>308</v>
      </c>
      <c r="C61" s="16" t="n">
        <v>2</v>
      </c>
      <c r="D61" s="16" t="n">
        <v>2</v>
      </c>
      <c r="E61" s="16" t="n">
        <v>2</v>
      </c>
      <c r="F61" s="16" t="n">
        <v>2</v>
      </c>
      <c r="G61" s="16" t="n">
        <v>2</v>
      </c>
      <c r="H61" s="16" t="n">
        <v>2</v>
      </c>
      <c r="I61" s="16" t="n">
        <v>2</v>
      </c>
      <c r="J61" s="16" t="n">
        <v>2</v>
      </c>
    </row>
    <row r="62" customFormat="false" ht="15" hidden="false" customHeight="false" outlineLevel="0" collapsed="false">
      <c r="A62" s="4" t="s">
        <v>309</v>
      </c>
      <c r="C62" s="35" t="n">
        <f aca="false">C60*C61</f>
        <v>70000</v>
      </c>
      <c r="D62" s="35" t="n">
        <f aca="false">D60*D61</f>
        <v>73500</v>
      </c>
      <c r="E62" s="35" t="n">
        <f aca="false">E60*E61</f>
        <v>77176</v>
      </c>
      <c r="F62" s="35" t="n">
        <f aca="false">F60*F61</f>
        <v>80648</v>
      </c>
      <c r="G62" s="35" t="n">
        <f aca="false">G60*G61</f>
        <v>84278</v>
      </c>
      <c r="H62" s="35" t="n">
        <f aca="false">H60*H61</f>
        <v>87650</v>
      </c>
      <c r="I62" s="35" t="n">
        <f aca="false">I60*I61</f>
        <v>91156</v>
      </c>
      <c r="J62" s="35" t="n">
        <f aca="false">J60*J61</f>
        <v>94802</v>
      </c>
    </row>
    <row r="63" customFormat="false" ht="15" hidden="false" customHeight="false" outlineLevel="0" collapsed="false">
      <c r="A63" s="40" t="s">
        <v>261</v>
      </c>
      <c r="C63" s="6" t="n">
        <v>2</v>
      </c>
      <c r="D63" s="6" t="n">
        <v>12</v>
      </c>
      <c r="E63" s="6" t="n">
        <v>12</v>
      </c>
      <c r="F63" s="6" t="n">
        <v>12</v>
      </c>
      <c r="G63" s="6" t="n">
        <v>12</v>
      </c>
      <c r="H63" s="6" t="n">
        <v>12</v>
      </c>
      <c r="I63" s="6" t="n">
        <v>12</v>
      </c>
      <c r="J63" s="6" t="n">
        <v>12</v>
      </c>
    </row>
    <row r="64" customFormat="false" ht="15" hidden="false" customHeight="false" outlineLevel="0" collapsed="false">
      <c r="A64" s="28" t="s">
        <v>310</v>
      </c>
      <c r="C64" s="36" t="n">
        <f aca="false">C59*C62*C63</f>
        <v>140000</v>
      </c>
      <c r="D64" s="36" t="n">
        <f aca="false">D59*D62*D63</f>
        <v>882000</v>
      </c>
      <c r="E64" s="36" t="n">
        <f aca="false">E59*E62*E63</f>
        <v>926112</v>
      </c>
      <c r="F64" s="36" t="n">
        <f aca="false">F59*F62*F63</f>
        <v>967776</v>
      </c>
      <c r="G64" s="36" t="n">
        <f aca="false">G59*G62*G63</f>
        <v>1011336</v>
      </c>
      <c r="H64" s="36" t="n">
        <f aca="false">H59*H62*H63</f>
        <v>1051800</v>
      </c>
      <c r="I64" s="36" t="n">
        <f aca="false">I59*I62*I63</f>
        <v>1093872</v>
      </c>
      <c r="J64" s="36" t="n">
        <f aca="false">J59*J62*J63</f>
        <v>1137624</v>
      </c>
    </row>
    <row r="65" customFormat="false" ht="15" hidden="false" customHeight="false" outlineLevel="0" collapsed="false">
      <c r="A65" s="30" t="s">
        <v>311</v>
      </c>
      <c r="C65" s="44" t="n">
        <f aca="false">C64*0.076</f>
        <v>10640</v>
      </c>
      <c r="D65" s="44" t="n">
        <f aca="false">D64*0.076</f>
        <v>67032</v>
      </c>
      <c r="E65" s="44" t="n">
        <f aca="false">E64*0.076</f>
        <v>70384.512</v>
      </c>
      <c r="F65" s="44" t="n">
        <f aca="false">F64*0.076</f>
        <v>73550.976</v>
      </c>
      <c r="G65" s="44" t="n">
        <f aca="false">G64*0.076</f>
        <v>76861.536</v>
      </c>
      <c r="H65" s="44" t="n">
        <f aca="false">H64*0.076</f>
        <v>79936.8</v>
      </c>
      <c r="I65" s="44" t="n">
        <f aca="false">I64*0.076</f>
        <v>83134.272</v>
      </c>
      <c r="J65" s="44" t="n">
        <f aca="false">J64*0.076</f>
        <v>86459.424</v>
      </c>
    </row>
    <row r="67" customFormat="false" ht="15" hidden="false" customHeight="false" outlineLevel="0" collapsed="false">
      <c r="A67" s="3" t="s">
        <v>318</v>
      </c>
      <c r="B67" s="3"/>
      <c r="C67" s="3"/>
      <c r="D67" s="3"/>
      <c r="E67" s="3"/>
      <c r="F67" s="3"/>
      <c r="G67" s="3"/>
      <c r="H67" s="3"/>
      <c r="I67" s="3"/>
      <c r="J67" s="3"/>
    </row>
    <row r="68" customFormat="false" ht="15" hidden="false" customHeight="false" outlineLevel="0" collapsed="false">
      <c r="A68" s="40" t="s">
        <v>306</v>
      </c>
      <c r="C68" s="6" t="n">
        <v>1</v>
      </c>
      <c r="D68" s="6" t="n">
        <v>1</v>
      </c>
      <c r="E68" s="6" t="n">
        <v>1</v>
      </c>
      <c r="F68" s="6" t="n">
        <v>1</v>
      </c>
      <c r="G68" s="6" t="n">
        <v>1</v>
      </c>
      <c r="H68" s="6" t="n">
        <v>1</v>
      </c>
      <c r="I68" s="6" t="n">
        <v>1</v>
      </c>
      <c r="J68" s="6" t="n">
        <v>1</v>
      </c>
    </row>
    <row r="69" customFormat="false" ht="15" hidden="false" customHeight="false" outlineLevel="0" collapsed="false">
      <c r="A69" s="40" t="s">
        <v>307</v>
      </c>
      <c r="C69" s="11" t="n">
        <v>30000</v>
      </c>
      <c r="D69" s="35" t="n">
        <f aca="false">ROUND(C69*(1+0.05),0)</f>
        <v>31500</v>
      </c>
      <c r="E69" s="35" t="n">
        <f aca="false">ROUND(D69*(1+0.05),0)</f>
        <v>33075</v>
      </c>
      <c r="F69" s="35" t="n">
        <f aca="false">ROUND(E69*(1+0.045),0)</f>
        <v>34563</v>
      </c>
      <c r="G69" s="35" t="n">
        <f aca="false">ROUND(F69*(1+0.045),0)</f>
        <v>36118</v>
      </c>
      <c r="H69" s="35" t="n">
        <f aca="false">ROUND(G69*(1+0.04),0)</f>
        <v>37563</v>
      </c>
      <c r="I69" s="35" t="n">
        <f aca="false">ROUND(H69*(1+0.04),0)</f>
        <v>39066</v>
      </c>
      <c r="J69" s="35" t="n">
        <f aca="false">ROUND(I69*(1+0.04),0)</f>
        <v>40629</v>
      </c>
    </row>
    <row r="70" customFormat="false" ht="15" hidden="false" customHeight="false" outlineLevel="0" collapsed="false">
      <c r="A70" s="40" t="s">
        <v>308</v>
      </c>
      <c r="C70" s="16" t="n">
        <v>1</v>
      </c>
      <c r="D70" s="16" t="n">
        <v>1</v>
      </c>
      <c r="E70" s="16" t="n">
        <v>1</v>
      </c>
      <c r="F70" s="16" t="n">
        <v>1</v>
      </c>
      <c r="G70" s="16" t="n">
        <v>1</v>
      </c>
      <c r="H70" s="16" t="n">
        <v>1</v>
      </c>
      <c r="I70" s="16" t="n">
        <v>1</v>
      </c>
      <c r="J70" s="16" t="n">
        <v>1</v>
      </c>
    </row>
    <row r="71" customFormat="false" ht="15" hidden="false" customHeight="false" outlineLevel="0" collapsed="false">
      <c r="A71" s="4" t="s">
        <v>309</v>
      </c>
      <c r="C71" s="35" t="n">
        <f aca="false">C69*C70</f>
        <v>30000</v>
      </c>
      <c r="D71" s="35" t="n">
        <f aca="false">D69*D70</f>
        <v>31500</v>
      </c>
      <c r="E71" s="35" t="n">
        <f aca="false">E69*E70</f>
        <v>33075</v>
      </c>
      <c r="F71" s="35" t="n">
        <f aca="false">F69*F70</f>
        <v>34563</v>
      </c>
      <c r="G71" s="35" t="n">
        <f aca="false">G69*G70</f>
        <v>36118</v>
      </c>
      <c r="H71" s="35" t="n">
        <f aca="false">H69*H70</f>
        <v>37563</v>
      </c>
      <c r="I71" s="35" t="n">
        <f aca="false">I69*I70</f>
        <v>39066</v>
      </c>
      <c r="J71" s="35" t="n">
        <f aca="false">J69*J70</f>
        <v>40629</v>
      </c>
    </row>
    <row r="72" customFormat="false" ht="15" hidden="false" customHeight="false" outlineLevel="0" collapsed="false">
      <c r="A72" s="40" t="s">
        <v>261</v>
      </c>
      <c r="C72" s="6" t="n">
        <v>2</v>
      </c>
      <c r="D72" s="6" t="n">
        <v>12</v>
      </c>
      <c r="E72" s="6" t="n">
        <v>12</v>
      </c>
      <c r="F72" s="6" t="n">
        <v>12</v>
      </c>
      <c r="G72" s="6" t="n">
        <v>12</v>
      </c>
      <c r="H72" s="6" t="n">
        <v>12</v>
      </c>
      <c r="I72" s="6" t="n">
        <v>12</v>
      </c>
      <c r="J72" s="6" t="n">
        <v>12</v>
      </c>
    </row>
    <row r="73" customFormat="false" ht="15" hidden="false" customHeight="false" outlineLevel="0" collapsed="false">
      <c r="A73" s="28" t="s">
        <v>310</v>
      </c>
      <c r="C73" s="36" t="n">
        <f aca="false">C68*C71*C72</f>
        <v>60000</v>
      </c>
      <c r="D73" s="36" t="n">
        <f aca="false">D68*D71*D72</f>
        <v>378000</v>
      </c>
      <c r="E73" s="36" t="n">
        <f aca="false">E68*E71*E72</f>
        <v>396900</v>
      </c>
      <c r="F73" s="36" t="n">
        <f aca="false">F68*F71*F72</f>
        <v>414756</v>
      </c>
      <c r="G73" s="36" t="n">
        <f aca="false">G68*G71*G72</f>
        <v>433416</v>
      </c>
      <c r="H73" s="36" t="n">
        <f aca="false">H68*H71*H72</f>
        <v>450756</v>
      </c>
      <c r="I73" s="36" t="n">
        <f aca="false">I68*I71*I72</f>
        <v>468792</v>
      </c>
      <c r="J73" s="36" t="n">
        <f aca="false">J68*J71*J72</f>
        <v>487548</v>
      </c>
    </row>
    <row r="74" customFormat="false" ht="15" hidden="false" customHeight="false" outlineLevel="0" collapsed="false">
      <c r="A74" s="30" t="s">
        <v>311</v>
      </c>
      <c r="C74" s="44" t="n">
        <f aca="false">C73*0.076</f>
        <v>4560</v>
      </c>
      <c r="D74" s="44" t="n">
        <f aca="false">D73*0.076</f>
        <v>28728</v>
      </c>
      <c r="E74" s="44" t="n">
        <f aca="false">E73*0.076</f>
        <v>30164.4</v>
      </c>
      <c r="F74" s="44" t="n">
        <f aca="false">F73*0.076</f>
        <v>31521.456</v>
      </c>
      <c r="G74" s="44" t="n">
        <f aca="false">G73*0.076</f>
        <v>32939.616</v>
      </c>
      <c r="H74" s="44" t="n">
        <f aca="false">H73*0.076</f>
        <v>34257.456</v>
      </c>
      <c r="I74" s="44" t="n">
        <f aca="false">I73*0.076</f>
        <v>35628.192</v>
      </c>
      <c r="J74" s="44" t="n">
        <f aca="false">J73*0.076</f>
        <v>37053.648</v>
      </c>
    </row>
    <row r="76" customFormat="false" ht="15" hidden="false" customHeight="false" outlineLevel="0" collapsed="false">
      <c r="A76" s="19" t="s">
        <v>319</v>
      </c>
      <c r="B76" s="38"/>
      <c r="C76" s="20" t="n">
        <f aca="false">C10+C19+C28+C37+C46+C55+C64+C73</f>
        <v>2940000</v>
      </c>
      <c r="D76" s="20" t="n">
        <f aca="false">D10+D19+D28+D37+D46+D55+D64+D73</f>
        <v>18522000</v>
      </c>
      <c r="E76" s="20" t="n">
        <f aca="false">E10+E19+E28+E37+E46+E55+E64+E73</f>
        <v>19448220</v>
      </c>
      <c r="F76" s="20" t="n">
        <f aca="false">F10+F19+F28+F37+F46+F55+F64+F73</f>
        <v>20323452</v>
      </c>
      <c r="G76" s="20" t="n">
        <f aca="false">G10+G19+G28+G37+G46+G55+G64+G73</f>
        <v>21238080</v>
      </c>
      <c r="H76" s="20" t="n">
        <f aca="false">H10+H19+H28+H37+H46+H55+H64+H73</f>
        <v>22087644</v>
      </c>
      <c r="I76" s="20" t="n">
        <f aca="false">I10+I19+I28+I37+I46+I55+I64+I73</f>
        <v>22971216</v>
      </c>
      <c r="J76" s="20" t="n">
        <f aca="false">J10+J19+J28+J37+J46+J55+J64+J73</f>
        <v>23890068</v>
      </c>
    </row>
    <row r="77" customFormat="false" ht="15" hidden="false" customHeight="false" outlineLevel="0" collapsed="false">
      <c r="A77" s="19" t="s">
        <v>320</v>
      </c>
      <c r="B77" s="38"/>
      <c r="C77" s="34" t="n">
        <f aca="false">C76*0.076</f>
        <v>223440</v>
      </c>
      <c r="D77" s="34" t="n">
        <f aca="false">D76*0.076</f>
        <v>1407672</v>
      </c>
      <c r="E77" s="34" t="n">
        <f aca="false">E76*0.076</f>
        <v>1478064.72</v>
      </c>
      <c r="F77" s="34" t="n">
        <f aca="false">F76*0.076</f>
        <v>1544582.352</v>
      </c>
      <c r="G77" s="34" t="n">
        <f aca="false">G76*0.076</f>
        <v>1614094.08</v>
      </c>
      <c r="H77" s="34" t="n">
        <f aca="false">H76*0.076</f>
        <v>1678660.944</v>
      </c>
      <c r="I77" s="34" t="n">
        <f aca="false">I76*0.076</f>
        <v>1745812.416</v>
      </c>
      <c r="J77" s="34" t="n">
        <f aca="false">J76*0.076</f>
        <v>1815645.168</v>
      </c>
    </row>
    <row r="78" customFormat="false" ht="15" hidden="false" customHeight="false" outlineLevel="0" collapsed="false">
      <c r="A78" s="19" t="s">
        <v>321</v>
      </c>
      <c r="B78" s="38"/>
      <c r="C78" s="20" t="n">
        <f aca="false">C76+C77</f>
        <v>3163440</v>
      </c>
      <c r="D78" s="20" t="n">
        <f aca="false">D76+D77</f>
        <v>19929672</v>
      </c>
      <c r="E78" s="20" t="n">
        <f aca="false">E76+E77</f>
        <v>20926284.72</v>
      </c>
      <c r="F78" s="20" t="n">
        <f aca="false">F76+F77</f>
        <v>21868034.352</v>
      </c>
      <c r="G78" s="20" t="n">
        <f aca="false">G76+G77</f>
        <v>22852174.08</v>
      </c>
      <c r="H78" s="20" t="n">
        <f aca="false">H76+H77</f>
        <v>23766304.944</v>
      </c>
      <c r="I78" s="20" t="n">
        <f aca="false">I76+I77</f>
        <v>24717028.416</v>
      </c>
      <c r="J78" s="20" t="n">
        <f aca="false">J76+J77</f>
        <v>25705713.168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0"/>
    <col collapsed="false" customWidth="true" hidden="false" outlineLevel="0" max="10" min="3" style="0" width="18"/>
  </cols>
  <sheetData>
    <row r="1" customFormat="false" ht="32.8" hidden="false" customHeight="false" outlineLevel="0" collapsed="false">
      <c r="A1" s="1" t="s">
        <v>322</v>
      </c>
    </row>
    <row r="3" customFormat="false" ht="15" hidden="false" customHeight="false" outlineLevel="0" collapsed="false">
      <c r="A3" s="26" t="s">
        <v>323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4" t="s">
        <v>324</v>
      </c>
      <c r="C4" s="11" t="n">
        <v>500000</v>
      </c>
      <c r="D4" s="11" t="n">
        <v>0</v>
      </c>
      <c r="E4" s="11" t="n">
        <v>0</v>
      </c>
      <c r="F4" s="11" t="n">
        <v>0</v>
      </c>
      <c r="G4" s="11" t="n">
        <v>0</v>
      </c>
      <c r="H4" s="11" t="n">
        <v>0</v>
      </c>
      <c r="I4" s="11" t="n">
        <v>0</v>
      </c>
      <c r="J4" s="11" t="n">
        <v>0</v>
      </c>
    </row>
    <row r="5" customFormat="false" ht="15" hidden="false" customHeight="false" outlineLevel="0" collapsed="false">
      <c r="A5" s="4" t="s">
        <v>325</v>
      </c>
      <c r="C5" s="11" t="n">
        <v>4600000</v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0</v>
      </c>
      <c r="I5" s="11" t="n">
        <v>0</v>
      </c>
      <c r="J5" s="11" t="n">
        <v>0</v>
      </c>
    </row>
    <row r="6" customFormat="false" ht="23.85" hidden="false" customHeight="false" outlineLevel="0" collapsed="false">
      <c r="A6" s="4" t="s">
        <v>326</v>
      </c>
      <c r="C6" s="11" t="n">
        <v>1697000</v>
      </c>
      <c r="D6" s="11" t="n">
        <v>0</v>
      </c>
      <c r="E6" s="11" t="n">
        <v>0</v>
      </c>
      <c r="F6" s="11" t="n">
        <v>0</v>
      </c>
      <c r="G6" s="11" t="n">
        <v>0</v>
      </c>
      <c r="H6" s="11" t="n">
        <v>0</v>
      </c>
      <c r="I6" s="11" t="n">
        <v>0</v>
      </c>
      <c r="J6" s="11" t="n">
        <v>0</v>
      </c>
    </row>
    <row r="7" customFormat="false" ht="15" hidden="false" customHeight="false" outlineLevel="0" collapsed="false">
      <c r="A7" s="4" t="s">
        <v>327</v>
      </c>
      <c r="C7" s="11" t="n">
        <v>0</v>
      </c>
      <c r="D7" s="11" t="n">
        <v>850000</v>
      </c>
      <c r="E7" s="11" t="n">
        <v>0</v>
      </c>
      <c r="F7" s="11" t="n">
        <v>0</v>
      </c>
      <c r="G7" s="11" t="n">
        <v>0</v>
      </c>
      <c r="H7" s="11" t="n">
        <v>0</v>
      </c>
      <c r="I7" s="11" t="n">
        <v>0</v>
      </c>
      <c r="J7" s="11" t="n">
        <v>0</v>
      </c>
    </row>
    <row r="8" customFormat="false" ht="15" hidden="false" customHeight="false" outlineLevel="0" collapsed="false">
      <c r="A8" s="4" t="s">
        <v>328</v>
      </c>
      <c r="C8" s="11" t="n">
        <v>0</v>
      </c>
      <c r="D8" s="11" t="n">
        <v>1400000</v>
      </c>
      <c r="E8" s="11" t="n">
        <v>0</v>
      </c>
      <c r="F8" s="11" t="n">
        <v>0</v>
      </c>
      <c r="G8" s="11" t="n">
        <v>0</v>
      </c>
      <c r="H8" s="11" t="n">
        <v>0</v>
      </c>
      <c r="I8" s="11" t="n">
        <v>0</v>
      </c>
      <c r="J8" s="11" t="n">
        <v>0</v>
      </c>
    </row>
    <row r="9" customFormat="false" ht="15" hidden="false" customHeight="false" outlineLevel="0" collapsed="false">
      <c r="A9" s="4" t="s">
        <v>329</v>
      </c>
      <c r="C9" s="11" t="n">
        <v>1500000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0</v>
      </c>
    </row>
    <row r="10" customFormat="false" ht="15" hidden="false" customHeight="false" outlineLevel="0" collapsed="false">
      <c r="A10" s="4" t="s">
        <v>330</v>
      </c>
      <c r="C10" s="11" t="n">
        <v>710000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</row>
    <row r="11" customFormat="false" ht="15" hidden="false" customHeight="false" outlineLevel="0" collapsed="false">
      <c r="A11" s="4" t="s">
        <v>331</v>
      </c>
      <c r="C11" s="11" t="n">
        <v>0</v>
      </c>
      <c r="D11" s="11" t="n">
        <v>800000</v>
      </c>
      <c r="E11" s="11" t="n">
        <v>0</v>
      </c>
      <c r="F11" s="11" t="n">
        <v>0</v>
      </c>
      <c r="G11" s="11" t="n">
        <v>0</v>
      </c>
      <c r="H11" s="11" t="n">
        <v>0</v>
      </c>
      <c r="I11" s="11" t="n">
        <v>0</v>
      </c>
      <c r="J11" s="11" t="n">
        <v>0</v>
      </c>
    </row>
    <row r="12" customFormat="false" ht="15" hidden="false" customHeight="false" outlineLevel="0" collapsed="false">
      <c r="A12" s="4" t="s">
        <v>332</v>
      </c>
      <c r="C12" s="11" t="n">
        <v>148000</v>
      </c>
      <c r="D12" s="11" t="n">
        <v>0</v>
      </c>
      <c r="E12" s="11" t="n">
        <v>0</v>
      </c>
      <c r="F12" s="11" t="n">
        <v>0</v>
      </c>
      <c r="G12" s="11" t="n">
        <v>0</v>
      </c>
      <c r="H12" s="11" t="n">
        <v>0</v>
      </c>
      <c r="I12" s="11" t="n">
        <v>0</v>
      </c>
      <c r="J12" s="11" t="n">
        <v>0</v>
      </c>
    </row>
    <row r="13" customFormat="false" ht="15" hidden="false" customHeight="false" outlineLevel="0" collapsed="false">
      <c r="A13" s="4" t="s">
        <v>333</v>
      </c>
      <c r="C13" s="11" t="n">
        <v>3000000</v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0</v>
      </c>
    </row>
    <row r="14" customFormat="false" ht="15" hidden="false" customHeight="false" outlineLevel="0" collapsed="false">
      <c r="A14" s="4" t="s">
        <v>334</v>
      </c>
      <c r="C14" s="11" t="n">
        <v>800000</v>
      </c>
      <c r="D14" s="11" t="n">
        <v>0</v>
      </c>
      <c r="E14" s="11" t="n">
        <v>0</v>
      </c>
      <c r="F14" s="11" t="n">
        <v>0</v>
      </c>
      <c r="G14" s="11" t="n">
        <v>0</v>
      </c>
      <c r="H14" s="11" t="n">
        <v>0</v>
      </c>
      <c r="I14" s="11" t="n">
        <v>0</v>
      </c>
      <c r="J14" s="11" t="n">
        <v>0</v>
      </c>
    </row>
    <row r="15" customFormat="false" ht="15" hidden="false" customHeight="false" outlineLevel="0" collapsed="false">
      <c r="A15" s="4" t="s">
        <v>335</v>
      </c>
      <c r="C15" s="11" t="n">
        <v>0</v>
      </c>
      <c r="D15" s="11" t="n">
        <v>750000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</row>
    <row r="17" customFormat="false" ht="15" hidden="false" customHeight="false" outlineLevel="0" collapsed="false">
      <c r="A17" s="19" t="s">
        <v>336</v>
      </c>
      <c r="B17" s="38"/>
      <c r="C17" s="20" t="n">
        <f aca="false">C4+C5+C6+C7+C8+C9+C10+C11+C12+C13+C14+C15</f>
        <v>12955000</v>
      </c>
      <c r="D17" s="20" t="n">
        <f aca="false">D4+D5+D6+D7+D8+D9+D10+D11+D12+D13+D14+D15</f>
        <v>3800000</v>
      </c>
      <c r="E17" s="20" t="n">
        <f aca="false">E4+E5+E6+E7+E8+E9+E10+E11+E12+E13+E14+E15</f>
        <v>0</v>
      </c>
      <c r="F17" s="20" t="n">
        <f aca="false">F4+F5+F6+F7+F8+F9+F10+F11+F12+F13+F14+F15</f>
        <v>0</v>
      </c>
      <c r="G17" s="20" t="n">
        <f aca="false">G4+G5+G6+G7+G8+G9+G10+G11+G12+G13+G14+G15</f>
        <v>0</v>
      </c>
      <c r="H17" s="20" t="n">
        <f aca="false">H4+H5+H6+H7+H8+H9+H10+H11+H12+H13+H14+H15</f>
        <v>0</v>
      </c>
      <c r="I17" s="20" t="n">
        <f aca="false">I4+I5+I6+I7+I8+I9+I10+I11+I12+I13+I14+I15</f>
        <v>0</v>
      </c>
      <c r="J17" s="20" t="n">
        <f aca="false">J4+J5+J6+J7+J8+J9+J10+J11+J12+J13+J14+J15</f>
        <v>0</v>
      </c>
    </row>
    <row r="18" customFormat="false" ht="15" hidden="false" customHeight="false" outlineLevel="0" collapsed="false">
      <c r="A18" s="7" t="s">
        <v>337</v>
      </c>
      <c r="C18" s="39" t="n">
        <f aca="false">C17</f>
        <v>12955000</v>
      </c>
      <c r="D18" s="39" t="n">
        <f aca="false">C18+D17</f>
        <v>16755000</v>
      </c>
      <c r="E18" s="39" t="n">
        <f aca="false">D18+E17</f>
        <v>16755000</v>
      </c>
      <c r="F18" s="39" t="n">
        <f aca="false">E18+F17</f>
        <v>16755000</v>
      </c>
      <c r="G18" s="39" t="n">
        <f aca="false">F18+G17</f>
        <v>16755000</v>
      </c>
      <c r="H18" s="39" t="n">
        <f aca="false">G18+H17</f>
        <v>16755000</v>
      </c>
      <c r="I18" s="39" t="n">
        <f aca="false">H18+I17</f>
        <v>16755000</v>
      </c>
      <c r="J18" s="39" t="n">
        <f aca="false">I18+J17</f>
        <v>16755000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10" min="2" style="0" width="18"/>
  </cols>
  <sheetData>
    <row r="1" customFormat="false" ht="32.8" hidden="false" customHeight="false" outlineLevel="0" collapsed="false">
      <c r="A1" s="1" t="s">
        <v>338</v>
      </c>
    </row>
    <row r="3" customFormat="false" ht="15" hidden="false" customHeight="false" outlineLevel="0" collapsed="false">
      <c r="A3" s="26" t="s">
        <v>339</v>
      </c>
      <c r="B3" s="27"/>
      <c r="C3" s="27" t="s">
        <v>23</v>
      </c>
      <c r="D3" s="27" t="s">
        <v>24</v>
      </c>
      <c r="E3" s="27" t="s">
        <v>25</v>
      </c>
      <c r="F3" s="27" t="s">
        <v>26</v>
      </c>
      <c r="G3" s="27" t="s">
        <v>27</v>
      </c>
      <c r="H3" s="27" t="s">
        <v>28</v>
      </c>
      <c r="I3" s="27" t="s">
        <v>29</v>
      </c>
      <c r="J3" s="27" t="s">
        <v>30</v>
      </c>
    </row>
    <row r="4" customFormat="false" ht="15" hidden="false" customHeight="false" outlineLevel="0" collapsed="false">
      <c r="A4" s="3" t="s">
        <v>340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22.35" hidden="false" customHeight="false" outlineLevel="0" collapsed="false">
      <c r="A5" s="4" t="s">
        <v>95</v>
      </c>
      <c r="B5" s="52" t="s">
        <v>341</v>
      </c>
      <c r="C5" s="11" t="n">
        <v>400000</v>
      </c>
      <c r="D5" s="35" t="n">
        <f aca="false">ROUND(C5/2*12*(1+0.05),0)</f>
        <v>2520000</v>
      </c>
      <c r="E5" s="35" t="n">
        <f aca="false">ROUND(D5*(1+0.05),0)</f>
        <v>2646000</v>
      </c>
      <c r="F5" s="35" t="n">
        <f aca="false">ROUND(E5*(1+0.05),0)</f>
        <v>2778300</v>
      </c>
      <c r="G5" s="35" t="n">
        <f aca="false">ROUND(F5*(1+0.05),0)</f>
        <v>2917215</v>
      </c>
      <c r="H5" s="35" t="n">
        <f aca="false">ROUND(G5*(1+0.05),0)</f>
        <v>3063076</v>
      </c>
      <c r="I5" s="35" t="n">
        <f aca="false">ROUND(H5*(1+0.05),0)</f>
        <v>3216230</v>
      </c>
      <c r="J5" s="35" t="n">
        <f aca="false">ROUND(I5*(1+0.05),0)</f>
        <v>3377042</v>
      </c>
    </row>
    <row r="6" customFormat="false" ht="22.35" hidden="false" customHeight="false" outlineLevel="0" collapsed="false">
      <c r="A6" s="4" t="s">
        <v>98</v>
      </c>
      <c r="B6" s="52" t="s">
        <v>342</v>
      </c>
      <c r="C6" s="11" t="n">
        <v>170000</v>
      </c>
      <c r="D6" s="35" t="n">
        <f aca="false">ROUND(C6/2*12*(1+0.043),0)</f>
        <v>1063860</v>
      </c>
      <c r="E6" s="35" t="n">
        <f aca="false">ROUND(D6*(1+0.04),0)</f>
        <v>1106414</v>
      </c>
      <c r="F6" s="35" t="n">
        <f aca="false">ROUND(E6*(1+0.04),0)</f>
        <v>1150671</v>
      </c>
      <c r="G6" s="35" t="n">
        <f aca="false">ROUND(F6*(1+0.04),0)</f>
        <v>1196698</v>
      </c>
      <c r="H6" s="35" t="n">
        <f aca="false">ROUND(G6*(1+0.04),0)</f>
        <v>1244566</v>
      </c>
      <c r="I6" s="35" t="n">
        <f aca="false">ROUND(H6*(1+0.04),0)</f>
        <v>1294349</v>
      </c>
      <c r="J6" s="35" t="n">
        <f aca="false">ROUND(I6*(1+0.04),0)</f>
        <v>1346123</v>
      </c>
    </row>
    <row r="7" customFormat="false" ht="22.35" hidden="false" customHeight="false" outlineLevel="0" collapsed="false">
      <c r="A7" s="4" t="s">
        <v>100</v>
      </c>
      <c r="B7" s="52" t="s">
        <v>343</v>
      </c>
      <c r="C7" s="11" t="n">
        <v>240000</v>
      </c>
      <c r="D7" s="35" t="n">
        <f aca="false">ROUND(C7/2*12*(1+0.043),0)</f>
        <v>1501920</v>
      </c>
      <c r="E7" s="35" t="n">
        <f aca="false">ROUND(D7*(1+0.04),0)</f>
        <v>1561997</v>
      </c>
      <c r="F7" s="35" t="n">
        <f aca="false">ROUND(E7*(1+0.04),0)</f>
        <v>1624477</v>
      </c>
      <c r="G7" s="35" t="n">
        <f aca="false">ROUND(F7*(1+0.04),0)</f>
        <v>1689456</v>
      </c>
      <c r="H7" s="35" t="n">
        <f aca="false">ROUND(G7*(1+0.04),0)</f>
        <v>1757034</v>
      </c>
      <c r="I7" s="35" t="n">
        <f aca="false">ROUND(H7*(1+0.04),0)</f>
        <v>1827315</v>
      </c>
      <c r="J7" s="35" t="n">
        <f aca="false">ROUND(I7*(1+0.04),0)</f>
        <v>1900408</v>
      </c>
    </row>
    <row r="8" customFormat="false" ht="22.35" hidden="false" customHeight="false" outlineLevel="0" collapsed="false">
      <c r="A8" s="4" t="s">
        <v>102</v>
      </c>
      <c r="B8" s="52" t="s">
        <v>344</v>
      </c>
      <c r="C8" s="11" t="n">
        <v>30000</v>
      </c>
      <c r="D8" s="35" t="n">
        <f aca="false">ROUND(C8/2*12*(1+0.043),0)</f>
        <v>187740</v>
      </c>
      <c r="E8" s="35" t="n">
        <f aca="false">ROUND(D8*(1+0.04),0)</f>
        <v>195250</v>
      </c>
      <c r="F8" s="35" t="n">
        <f aca="false">ROUND(E8*(1+0.04),0)</f>
        <v>203060</v>
      </c>
      <c r="G8" s="35" t="n">
        <f aca="false">ROUND(F8*(1+0.04),0)</f>
        <v>211182</v>
      </c>
      <c r="H8" s="35" t="n">
        <f aca="false">ROUND(G8*(1+0.04),0)</f>
        <v>219629</v>
      </c>
      <c r="I8" s="35" t="n">
        <f aca="false">ROUND(H8*(1+0.04),0)</f>
        <v>228414</v>
      </c>
      <c r="J8" s="35" t="n">
        <f aca="false">ROUND(I8*(1+0.04),0)</f>
        <v>237551</v>
      </c>
    </row>
    <row r="9" customFormat="false" ht="15" hidden="false" customHeight="false" outlineLevel="0" collapsed="false">
      <c r="A9" s="4" t="s">
        <v>103</v>
      </c>
      <c r="B9" s="52" t="s">
        <v>345</v>
      </c>
      <c r="C9" s="11" t="n">
        <v>16000</v>
      </c>
      <c r="D9" s="35" t="n">
        <f aca="false">ROUND(C9/2*12*(1+0.043),0)</f>
        <v>100128</v>
      </c>
      <c r="E9" s="35" t="n">
        <f aca="false">ROUND(D9*(1+0.04),0)</f>
        <v>104133</v>
      </c>
      <c r="F9" s="35" t="n">
        <f aca="false">ROUND(E9*(1+0.04),0)</f>
        <v>108298</v>
      </c>
      <c r="G9" s="35" t="n">
        <f aca="false">ROUND(F9*(1+0.04),0)</f>
        <v>112630</v>
      </c>
      <c r="H9" s="35" t="n">
        <f aca="false">ROUND(G9*(1+0.04),0)</f>
        <v>117135</v>
      </c>
      <c r="I9" s="35" t="n">
        <f aca="false">ROUND(H9*(1+0.04),0)</f>
        <v>121820</v>
      </c>
      <c r="J9" s="35" t="n">
        <f aca="false">ROUND(I9*(1+0.04),0)</f>
        <v>126693</v>
      </c>
    </row>
    <row r="10" customFormat="false" ht="22.35" hidden="false" customHeight="false" outlineLevel="0" collapsed="false">
      <c r="A10" s="4" t="s">
        <v>346</v>
      </c>
      <c r="B10" s="52" t="s">
        <v>344</v>
      </c>
      <c r="C10" s="11" t="n">
        <v>30000</v>
      </c>
      <c r="D10" s="35" t="n">
        <f aca="false">ROUND(C10/2*12*(1+0.043),0)</f>
        <v>187740</v>
      </c>
      <c r="E10" s="35" t="n">
        <f aca="false">ROUND(D10*(1+0.04),0)</f>
        <v>195250</v>
      </c>
      <c r="F10" s="35" t="n">
        <f aca="false">ROUND(E10*(1+0.04),0)</f>
        <v>203060</v>
      </c>
      <c r="G10" s="35" t="n">
        <f aca="false">ROUND(F10*(1+0.04),0)</f>
        <v>211182</v>
      </c>
      <c r="H10" s="35" t="n">
        <f aca="false">ROUND(G10*(1+0.04),0)</f>
        <v>219629</v>
      </c>
      <c r="I10" s="35" t="n">
        <f aca="false">ROUND(H10*(1+0.04),0)</f>
        <v>228414</v>
      </c>
      <c r="J10" s="35" t="n">
        <f aca="false">ROUND(I10*(1+0.04),0)</f>
        <v>237551</v>
      </c>
    </row>
    <row r="11" customFormat="false" ht="22.35" hidden="false" customHeight="false" outlineLevel="0" collapsed="false">
      <c r="A11" s="4" t="s">
        <v>105</v>
      </c>
      <c r="B11" s="52" t="s">
        <v>347</v>
      </c>
      <c r="C11" s="11" t="n">
        <v>24000</v>
      </c>
      <c r="D11" s="35" t="n">
        <f aca="false">ROUND(C11/2*12*(1+0.043),0)</f>
        <v>150192</v>
      </c>
      <c r="E11" s="35" t="n">
        <f aca="false">ROUND(D11*(1+0.04),0)</f>
        <v>156200</v>
      </c>
      <c r="F11" s="35" t="n">
        <f aca="false">ROUND(E11*(1+0.04),0)</f>
        <v>162448</v>
      </c>
      <c r="G11" s="35" t="n">
        <f aca="false">ROUND(F11*(1+0.04),0)</f>
        <v>168946</v>
      </c>
      <c r="H11" s="35" t="n">
        <f aca="false">ROUND(G11*(1+0.04),0)</f>
        <v>175704</v>
      </c>
      <c r="I11" s="35" t="n">
        <f aca="false">ROUND(H11*(1+0.04),0)</f>
        <v>182732</v>
      </c>
      <c r="J11" s="35" t="n">
        <f aca="false">ROUND(I11*(1+0.04),0)</f>
        <v>190041</v>
      </c>
    </row>
    <row r="12" customFormat="false" ht="22.35" hidden="false" customHeight="false" outlineLevel="0" collapsed="false">
      <c r="A12" s="4" t="s">
        <v>348</v>
      </c>
      <c r="B12" s="52" t="s">
        <v>349</v>
      </c>
      <c r="C12" s="11" t="n">
        <v>100000</v>
      </c>
      <c r="D12" s="35" t="n">
        <f aca="false">ROUND(C12/2*12*(1+0.043),0)</f>
        <v>625800</v>
      </c>
      <c r="E12" s="35" t="n">
        <f aca="false">ROUND(D12*(1+0.04),0)</f>
        <v>650832</v>
      </c>
      <c r="F12" s="35" t="n">
        <f aca="false">ROUND(E12*(1+0.04),0)</f>
        <v>676865</v>
      </c>
      <c r="G12" s="35" t="n">
        <f aca="false">ROUND(F12*(1+0.04),0)</f>
        <v>703940</v>
      </c>
      <c r="H12" s="35" t="n">
        <f aca="false">ROUND(G12*(1+0.04),0)</f>
        <v>732098</v>
      </c>
      <c r="I12" s="35" t="n">
        <f aca="false">ROUND(H12*(1+0.04),0)</f>
        <v>761382</v>
      </c>
      <c r="J12" s="35" t="n">
        <f aca="false">ROUND(I12*(1+0.04),0)</f>
        <v>791837</v>
      </c>
    </row>
    <row r="13" customFormat="false" ht="22.35" hidden="false" customHeight="false" outlineLevel="0" collapsed="false">
      <c r="A13" s="4" t="s">
        <v>119</v>
      </c>
      <c r="B13" s="52" t="s">
        <v>344</v>
      </c>
      <c r="C13" s="11" t="n">
        <v>30000</v>
      </c>
      <c r="D13" s="35" t="n">
        <f aca="false">ROUND(C13/2*12*(1+0.043),0)</f>
        <v>187740</v>
      </c>
      <c r="E13" s="35" t="n">
        <f aca="false">ROUND(D13*(1+0.04),0)</f>
        <v>195250</v>
      </c>
      <c r="F13" s="35" t="n">
        <f aca="false">ROUND(E13*(1+0.04),0)</f>
        <v>203060</v>
      </c>
      <c r="G13" s="35" t="n">
        <f aca="false">ROUND(F13*(1+0.04),0)</f>
        <v>211182</v>
      </c>
      <c r="H13" s="35" t="n">
        <f aca="false">ROUND(G13*(1+0.04),0)</f>
        <v>219629</v>
      </c>
      <c r="I13" s="35" t="n">
        <f aca="false">ROUND(H13*(1+0.04),0)</f>
        <v>228414</v>
      </c>
      <c r="J13" s="35" t="n">
        <f aca="false">ROUND(I13*(1+0.04),0)</f>
        <v>237551</v>
      </c>
    </row>
    <row r="14" customFormat="false" ht="22.35" hidden="false" customHeight="false" outlineLevel="0" collapsed="false">
      <c r="A14" s="4" t="s">
        <v>350</v>
      </c>
      <c r="B14" s="52" t="s">
        <v>351</v>
      </c>
      <c r="C14" s="11" t="n">
        <v>90000</v>
      </c>
      <c r="D14" s="35" t="n">
        <f aca="false">ROUND(C14/2*12*(1+0.043),0)</f>
        <v>563220</v>
      </c>
      <c r="E14" s="35" t="n">
        <f aca="false">ROUND(D14*(1+0.04),0)</f>
        <v>585749</v>
      </c>
      <c r="F14" s="35" t="n">
        <f aca="false">ROUND(E14*(1+0.04),0)</f>
        <v>609179</v>
      </c>
      <c r="G14" s="35" t="n">
        <f aca="false">ROUND(F14*(1+0.04),0)</f>
        <v>633546</v>
      </c>
      <c r="H14" s="35" t="n">
        <f aca="false">ROUND(G14*(1+0.04),0)</f>
        <v>658888</v>
      </c>
      <c r="I14" s="35" t="n">
        <f aca="false">ROUND(H14*(1+0.04),0)</f>
        <v>685244</v>
      </c>
      <c r="J14" s="35" t="n">
        <f aca="false">ROUND(I14*(1+0.04),0)</f>
        <v>712654</v>
      </c>
    </row>
    <row r="15" customFormat="false" ht="22.35" hidden="false" customHeight="false" outlineLevel="0" collapsed="false">
      <c r="A15" s="4" t="s">
        <v>126</v>
      </c>
      <c r="B15" s="52" t="s">
        <v>352</v>
      </c>
      <c r="C15" s="11" t="n">
        <v>40000</v>
      </c>
      <c r="D15" s="35" t="n">
        <f aca="false">ROUND(C15/2*12*(1+0.043),0)</f>
        <v>250320</v>
      </c>
      <c r="E15" s="35" t="n">
        <f aca="false">ROUND(D15*(1+0.04),0)</f>
        <v>260333</v>
      </c>
      <c r="F15" s="35" t="n">
        <f aca="false">ROUND(E15*(1+0.04),0)</f>
        <v>270746</v>
      </c>
      <c r="G15" s="35" t="n">
        <f aca="false">ROUND(F15*(1+0.04),0)</f>
        <v>281576</v>
      </c>
      <c r="H15" s="35" t="n">
        <f aca="false">ROUND(G15*(1+0.04),0)</f>
        <v>292839</v>
      </c>
      <c r="I15" s="35" t="n">
        <f aca="false">ROUND(H15*(1+0.04),0)</f>
        <v>304553</v>
      </c>
      <c r="J15" s="35" t="n">
        <f aca="false">ROUND(I15*(1+0.04),0)</f>
        <v>316735</v>
      </c>
    </row>
    <row r="16" customFormat="false" ht="22.35" hidden="false" customHeight="false" outlineLevel="0" collapsed="false">
      <c r="A16" s="4" t="s">
        <v>353</v>
      </c>
      <c r="B16" s="52" t="s">
        <v>354</v>
      </c>
      <c r="C16" s="11" t="n">
        <v>120000</v>
      </c>
      <c r="D16" s="35" t="n">
        <f aca="false">ROUND(C16/2*12*(1+0.043),0)</f>
        <v>750960</v>
      </c>
      <c r="E16" s="35" t="n">
        <f aca="false">ROUND(D16*(1+0.04),0)</f>
        <v>780998</v>
      </c>
      <c r="F16" s="35" t="n">
        <f aca="false">ROUND(E16*(1+0.04),0)</f>
        <v>812238</v>
      </c>
      <c r="G16" s="35" t="n">
        <f aca="false">ROUND(F16*(1+0.04),0)</f>
        <v>844728</v>
      </c>
      <c r="H16" s="35" t="n">
        <f aca="false">ROUND(G16*(1+0.04),0)</f>
        <v>878517</v>
      </c>
      <c r="I16" s="35" t="n">
        <f aca="false">ROUND(H16*(1+0.04),0)</f>
        <v>913658</v>
      </c>
      <c r="J16" s="35" t="n">
        <f aca="false">ROUND(I16*(1+0.04),0)</f>
        <v>950204</v>
      </c>
    </row>
    <row r="17" customFormat="false" ht="22.35" hidden="false" customHeight="false" outlineLevel="0" collapsed="false">
      <c r="A17" s="4" t="s">
        <v>128</v>
      </c>
      <c r="B17" s="52" t="s">
        <v>355</v>
      </c>
      <c r="C17" s="11" t="n">
        <v>60000</v>
      </c>
      <c r="D17" s="35" t="n">
        <f aca="false">ROUND(C17/2*12*(1+0.043),0)</f>
        <v>375480</v>
      </c>
      <c r="E17" s="35" t="n">
        <f aca="false">ROUND(D17*(1+0.04),0)</f>
        <v>390499</v>
      </c>
      <c r="F17" s="35" t="n">
        <f aca="false">ROUND(E17*(1+0.04),0)</f>
        <v>406119</v>
      </c>
      <c r="G17" s="35" t="n">
        <f aca="false">ROUND(F17*(1+0.04),0)</f>
        <v>422364</v>
      </c>
      <c r="H17" s="35" t="n">
        <f aca="false">ROUND(G17*(1+0.04),0)</f>
        <v>439259</v>
      </c>
      <c r="I17" s="35" t="n">
        <f aca="false">ROUND(H17*(1+0.04),0)</f>
        <v>456829</v>
      </c>
      <c r="J17" s="35" t="n">
        <f aca="false">ROUND(I17*(1+0.04),0)</f>
        <v>475102</v>
      </c>
    </row>
    <row r="19" customFormat="false" ht="15" hidden="false" customHeight="false" outlineLevel="0" collapsed="false">
      <c r="A19" s="19" t="s">
        <v>356</v>
      </c>
      <c r="B19" s="38"/>
      <c r="C19" s="20" t="n">
        <f aca="false">C5+C6+C7+C8+C9+C10+C11+C12+C13+C14+C15+C16+C17</f>
        <v>1350000</v>
      </c>
      <c r="D19" s="20" t="n">
        <f aca="false">D5+D6+D7+D8+D9+D10+D11+D12+D13+D14+D15+D16+D17</f>
        <v>8465100</v>
      </c>
      <c r="E19" s="20" t="n">
        <f aca="false">E5+E6+E7+E8+E9+E10+E11+E12+E13+E14+E15+E16+E17</f>
        <v>8828905</v>
      </c>
      <c r="F19" s="20" t="n">
        <f aca="false">F5+F6+F7+F8+F9+F10+F11+F12+F13+F14+F15+F16+F17</f>
        <v>9208521</v>
      </c>
      <c r="G19" s="20" t="n">
        <f aca="false">G5+G6+G7+G8+G9+G10+G11+G12+G13+G14+G15+G16+G17</f>
        <v>9604645</v>
      </c>
      <c r="H19" s="20" t="n">
        <f aca="false">H5+H6+H7+H8+H9+H10+H11+H12+H13+H14+H15+H16+H17</f>
        <v>10018003</v>
      </c>
      <c r="I19" s="20" t="n">
        <f aca="false">I5+I6+I7+I8+I9+I10+I11+I12+I13+I14+I15+I16+I17</f>
        <v>10449354</v>
      </c>
      <c r="J19" s="20" t="n">
        <f aca="false">J5+J6+J7+J8+J9+J10+J11+J12+J13+J14+J15+J16+J17</f>
        <v>10899492</v>
      </c>
    </row>
    <row r="21" customFormat="false" ht="15" hidden="false" customHeight="false" outlineLevel="0" collapsed="false">
      <c r="A21" s="3" t="s">
        <v>357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15" hidden="false" customHeight="false" outlineLevel="0" collapsed="false">
      <c r="A22" s="4" t="s">
        <v>358</v>
      </c>
      <c r="C22" s="32" t="n">
        <f aca="false">Выручка!C125</f>
        <v>408539.4</v>
      </c>
      <c r="D22" s="32" t="n">
        <f aca="false">Выручка!D125</f>
        <v>4158372.28716</v>
      </c>
      <c r="E22" s="32" t="n">
        <f aca="false">Выручка!E125</f>
        <v>5507245.362528</v>
      </c>
      <c r="F22" s="32" t="n">
        <f aca="false">Выручка!F125</f>
        <v>5727535.17702912</v>
      </c>
      <c r="G22" s="32" t="n">
        <f aca="false">Выручка!G125</f>
        <v>5956636.58411029</v>
      </c>
      <c r="H22" s="32" t="n">
        <f aca="false">Выручка!H125</f>
        <v>6194902.04747469</v>
      </c>
      <c r="I22" s="32" t="n">
        <f aca="false">Выручка!I125</f>
        <v>6442698.12937368</v>
      </c>
      <c r="J22" s="32" t="n">
        <f aca="false">Выручка!J125</f>
        <v>6700406.05454863</v>
      </c>
    </row>
    <row r="23" customFormat="false" ht="15" hidden="false" customHeight="false" outlineLevel="0" collapsed="false">
      <c r="A23" s="4" t="s">
        <v>117</v>
      </c>
      <c r="B23" s="52" t="s">
        <v>359</v>
      </c>
      <c r="C23" s="35" t="n">
        <f aca="false">ROUND(Выручка!C124*0.025,0)</f>
        <v>39503</v>
      </c>
      <c r="D23" s="35" t="n">
        <f aca="false">ROUND(Выручка!D124*0.025,0)</f>
        <v>401166</v>
      </c>
      <c r="E23" s="35" t="n">
        <f aca="false">ROUND(Выручка!E124*0.025,0)</f>
        <v>530929</v>
      </c>
      <c r="F23" s="35" t="n">
        <f aca="false">ROUND(Выручка!F124*0.025,0)</f>
        <v>552166</v>
      </c>
      <c r="G23" s="35" t="n">
        <f aca="false">ROUND(Выручка!G124*0.025,0)</f>
        <v>574253</v>
      </c>
      <c r="H23" s="35" t="n">
        <f aca="false">ROUND(Выручка!H124*0.025,0)</f>
        <v>597223</v>
      </c>
      <c r="I23" s="35" t="n">
        <f aca="false">ROUND(Выручка!I124*0.025,0)</f>
        <v>621112</v>
      </c>
      <c r="J23" s="35" t="n">
        <f aca="false">ROUND(Выручка!J124*0.025,0)</f>
        <v>645957</v>
      </c>
    </row>
    <row r="24" customFormat="false" ht="15" hidden="false" customHeight="false" outlineLevel="0" collapsed="false">
      <c r="A24" s="4" t="s">
        <v>122</v>
      </c>
      <c r="B24" s="52" t="s">
        <v>360</v>
      </c>
      <c r="C24" s="35" t="n">
        <f aca="false">ROUND(Выручка!C124*0.015,0)</f>
        <v>23702</v>
      </c>
      <c r="D24" s="35" t="n">
        <f aca="false">ROUND(Выручка!D124*0.015,0)</f>
        <v>240699</v>
      </c>
      <c r="E24" s="35" t="n">
        <f aca="false">ROUND(Выручка!E124*0.015,0)</f>
        <v>318558</v>
      </c>
      <c r="F24" s="35" t="n">
        <f aca="false">ROUND(Выручка!F124*0.015,0)</f>
        <v>331300</v>
      </c>
      <c r="G24" s="35" t="n">
        <f aca="false">ROUND(Выручка!G124*0.015,0)</f>
        <v>344552</v>
      </c>
      <c r="H24" s="35" t="n">
        <f aca="false">ROUND(Выручка!H124*0.015,0)</f>
        <v>358334</v>
      </c>
      <c r="I24" s="35" t="n">
        <f aca="false">ROUND(Выручка!I124*0.015,0)</f>
        <v>372667</v>
      </c>
      <c r="J24" s="35" t="n">
        <f aca="false">ROUND(Выручка!J124*0.015,0)</f>
        <v>387574</v>
      </c>
    </row>
    <row r="25" customFormat="false" ht="15" hidden="false" customHeight="false" outlineLevel="0" collapsed="false">
      <c r="A25" s="4" t="s">
        <v>361</v>
      </c>
      <c r="B25" s="52" t="s">
        <v>362</v>
      </c>
      <c r="C25" s="35" t="n">
        <f aca="false">ROUND(Выручка!C124*0.017,0)</f>
        <v>26862</v>
      </c>
      <c r="D25" s="35" t="n">
        <f aca="false">ROUND(Выручка!D124*0.017,0)</f>
        <v>272793</v>
      </c>
      <c r="E25" s="35" t="n">
        <f aca="false">ROUND(Выручка!E124*0.017,0)</f>
        <v>361032</v>
      </c>
      <c r="F25" s="35" t="n">
        <f aca="false">ROUND(Выручка!F124*0.017,0)</f>
        <v>375473</v>
      </c>
      <c r="G25" s="35" t="n">
        <f aca="false">ROUND(Выручка!G124*0.017,0)</f>
        <v>390492</v>
      </c>
      <c r="H25" s="35" t="n">
        <f aca="false">ROUND(Выручка!H124*0.017,0)</f>
        <v>406112</v>
      </c>
      <c r="I25" s="35" t="n">
        <f aca="false">ROUND(Выручка!I124*0.017,0)</f>
        <v>422356</v>
      </c>
      <c r="J25" s="35" t="n">
        <f aca="false">ROUND(Выручка!J124*0.017,0)</f>
        <v>439250</v>
      </c>
    </row>
    <row r="27" customFormat="false" ht="15" hidden="false" customHeight="false" outlineLevel="0" collapsed="false">
      <c r="A27" s="19" t="s">
        <v>363</v>
      </c>
      <c r="B27" s="38"/>
      <c r="C27" s="34" t="n">
        <f aca="false">C22+C23+C24+C25</f>
        <v>498606.4</v>
      </c>
      <c r="D27" s="34" t="n">
        <f aca="false">D22+D23+D24+D25</f>
        <v>5073030.28716</v>
      </c>
      <c r="E27" s="34" t="n">
        <f aca="false">E22+E23+E24+E25</f>
        <v>6717764.362528</v>
      </c>
      <c r="F27" s="34" t="n">
        <f aca="false">F22+F23+F24+F25</f>
        <v>6986474.17702912</v>
      </c>
      <c r="G27" s="34" t="n">
        <f aca="false">G22+G23+G24+G25</f>
        <v>7265933.58411029</v>
      </c>
      <c r="H27" s="34" t="n">
        <f aca="false">H22+H23+H24+H25</f>
        <v>7556571.04747469</v>
      </c>
      <c r="I27" s="34" t="n">
        <f aca="false">I22+I23+I24+I25</f>
        <v>7858833.12937368</v>
      </c>
      <c r="J27" s="34" t="n">
        <f aca="false">J22+J23+J24+J25</f>
        <v>8173187.05454863</v>
      </c>
    </row>
    <row r="29" customFormat="false" ht="15" hidden="false" customHeight="false" outlineLevel="0" collapsed="false">
      <c r="A29" s="19" t="s">
        <v>364</v>
      </c>
      <c r="B29" s="38"/>
      <c r="C29" s="20" t="n">
        <f aca="false">C19+C27</f>
        <v>1848606.4</v>
      </c>
      <c r="D29" s="20" t="n">
        <f aca="false">D19+D27</f>
        <v>13538130.28716</v>
      </c>
      <c r="E29" s="20" t="n">
        <f aca="false">E19+E27</f>
        <v>15546669.362528</v>
      </c>
      <c r="F29" s="20" t="n">
        <f aca="false">F19+F27</f>
        <v>16194995.1770291</v>
      </c>
      <c r="G29" s="20" t="n">
        <f aca="false">G19+G27</f>
        <v>16870578.5841103</v>
      </c>
      <c r="H29" s="20" t="n">
        <f aca="false">H19+H27</f>
        <v>17574574.0474747</v>
      </c>
      <c r="I29" s="20" t="n">
        <f aca="false">I19+I27</f>
        <v>18308187.1293737</v>
      </c>
      <c r="J29" s="20" t="n">
        <f aca="false">J19+J27</f>
        <v>19072679.0545486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3" min="2" style="0" width="20"/>
  </cols>
  <sheetData>
    <row r="1" customFormat="false" ht="32.8" hidden="false" customHeight="false" outlineLevel="0" collapsed="false">
      <c r="A1" s="1" t="s">
        <v>365</v>
      </c>
    </row>
    <row r="3" customFormat="false" ht="15" hidden="false" customHeight="false" outlineLevel="0" collapsed="false">
      <c r="A3" s="26" t="s">
        <v>282</v>
      </c>
      <c r="B3" s="27" t="s">
        <v>366</v>
      </c>
      <c r="C3" s="27" t="s">
        <v>367</v>
      </c>
    </row>
    <row r="4" customFormat="false" ht="15" hidden="false" customHeight="false" outlineLevel="0" collapsed="false">
      <c r="A4" s="4" t="s">
        <v>368</v>
      </c>
      <c r="B4" s="11" t="n">
        <v>675000</v>
      </c>
      <c r="C4" s="35" t="n">
        <f aca="false">B4*12</f>
        <v>8100000</v>
      </c>
    </row>
    <row r="5" customFormat="false" ht="15" hidden="false" customHeight="false" outlineLevel="0" collapsed="false">
      <c r="A5" s="4" t="s">
        <v>369</v>
      </c>
      <c r="B5" s="11" t="n">
        <v>620000</v>
      </c>
      <c r="C5" s="35" t="n">
        <f aca="false">B5*12</f>
        <v>7440000</v>
      </c>
    </row>
    <row r="6" customFormat="false" ht="15" hidden="false" customHeight="false" outlineLevel="0" collapsed="false">
      <c r="A6" s="19" t="s">
        <v>370</v>
      </c>
      <c r="B6" s="20" t="n">
        <f aca="false">B4+B5</f>
        <v>1295000</v>
      </c>
      <c r="C6" s="20" t="n">
        <f aca="false">B6*12</f>
        <v>15540000</v>
      </c>
    </row>
    <row r="8" customFormat="false" ht="15" hidden="false" customHeight="false" outlineLevel="0" collapsed="false">
      <c r="A8" s="40" t="s">
        <v>371</v>
      </c>
      <c r="B8" s="11" t="n">
        <v>400</v>
      </c>
    </row>
    <row r="9" customFormat="false" ht="15" hidden="false" customHeight="false" outlineLevel="0" collapsed="false">
      <c r="A9" s="40" t="s">
        <v>372</v>
      </c>
      <c r="B9" s="11" t="n">
        <v>110</v>
      </c>
    </row>
    <row r="10" customFormat="false" ht="15" hidden="false" customHeight="false" outlineLevel="0" collapsed="false">
      <c r="A10" s="28" t="s">
        <v>373</v>
      </c>
      <c r="B10" s="36" t="n">
        <f aca="false">B8-B9</f>
        <v>290</v>
      </c>
    </row>
    <row r="12" customFormat="false" ht="15" hidden="false" customHeight="false" outlineLevel="0" collapsed="false">
      <c r="A12" s="19" t="s">
        <v>374</v>
      </c>
      <c r="B12" s="50" t="n">
        <f aca="false">ROUND(B6/B10,0)</f>
        <v>4466</v>
      </c>
    </row>
    <row r="13" customFormat="false" ht="15" hidden="false" customHeight="false" outlineLevel="0" collapsed="false">
      <c r="A13" s="19" t="s">
        <v>375</v>
      </c>
      <c r="B13" s="50" t="n">
        <f aca="false">ROUND(B12/30,0)</f>
        <v>149</v>
      </c>
    </row>
    <row r="14" customFormat="false" ht="15" hidden="false" customHeight="false" outlineLevel="0" collapsed="false">
      <c r="A14" s="19" t="s">
        <v>376</v>
      </c>
      <c r="B14" s="20" t="n">
        <f aca="false">B12*B8</f>
        <v>1786400</v>
      </c>
    </row>
    <row r="15" customFormat="false" ht="15" hidden="false" customHeight="false" outlineLevel="0" collapsed="false">
      <c r="A15" s="19" t="s">
        <v>377</v>
      </c>
      <c r="B15" s="20" t="n">
        <f aca="false">B14*12</f>
        <v>21436800</v>
      </c>
    </row>
    <row r="17" customFormat="false" ht="23.85" hidden="false" customHeight="false" outlineLevel="0" collapsed="false">
      <c r="A17" s="4" t="s">
        <v>378</v>
      </c>
      <c r="B17" s="12" t="n">
        <f aca="false">IF(B14=0,0,(1400000-B14)/1400000)</f>
        <v>-0.276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2026-03-12T22:16:22Z</dcterms:created>
  <dc:creator>openpyxl</dc:creator>
  <dc:description/>
  <dc:language>en-US</dc:language>
  <cp:lastModifiedBy/>
  <dcterms:modified xsi:type="dcterms:W3CDTF">2026-03-12T22:19:40Z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